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ta.ferreira\Dropbox\_Brasil Akut\_C Ferram e Instrum EE\C5.5 Planilha ProEESA-CEN\Manual CEN\"/>
    </mc:Choice>
  </mc:AlternateContent>
  <bookViews>
    <workbookView xWindow="14510" yWindow="-20" windowWidth="14310" windowHeight="11940" tabRatio="518" xr2:uid="{00000000-000D-0000-FFFF-FFFF00000000}"/>
  </bookViews>
  <sheets>
    <sheet name="Introdução " sheetId="6" r:id="rId1"/>
    <sheet name="Cálculo de EE" sheetId="1" r:id="rId2"/>
    <sheet name="Rendimento esperado" sheetId="4" r:id="rId3"/>
    <sheet name="Respostas tipo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lturamanometrica">#REF!</definedName>
    <definedName name="alturammanometrica">'[1]Cálculo de EE'!$V$9:$V$11</definedName>
    <definedName name="Captações">[2]Resumo!$I$24</definedName>
    <definedName name="DropList">[2]Resumo!$S$1:INDEX([2]Resumo!$S$1:$S$258,COUNTIF([2]Resumo!$S$1:$S$258,"?*"))</definedName>
    <definedName name="Feriados">[3]Reclamações!$C$13:$C$27</definedName>
    <definedName name="fiab_dAA26a">'[4]Fiabilidade '!$D$43:$D$45</definedName>
    <definedName name="fiab_dAA27a">'[4]Fiabilidade '!$D$47:$D$49</definedName>
    <definedName name="IGPI_estratégico">[5]Listas!$AH$2:$AH$5</definedName>
    <definedName name="IGPI_tático">[5]Listas!$AI$2:$AI$4</definedName>
    <definedName name="IMC_combobox">[5]Listas!$AJ$2:$AJ$4</definedName>
    <definedName name="IMC_sim_não">[5]Listas!$AK$2:$AK$3</definedName>
    <definedName name="inst_elev">[4]Listas!$F$27:$F$29</definedName>
    <definedName name="Lista_IGPI">[5]Listas!$AG$2:$AG$4</definedName>
    <definedName name="medidoestimad">#REF!</definedName>
    <definedName name="medidoestimado">'[1]Cálculo de EE'!#REF!</definedName>
    <definedName name="motor">'[1]Cálculo de EE'!#REF!</definedName>
    <definedName name="Motor1">#REF!</definedName>
    <definedName name="ramais_ICI">[5]ICI!$DF$18:$DF$19</definedName>
  </definedNames>
  <calcPr calcId="171027"/>
  <fileRecoveryPr autoRecover="0"/>
</workbook>
</file>

<file path=xl/calcChain.xml><?xml version="1.0" encoding="utf-8"?>
<calcChain xmlns="http://schemas.openxmlformats.org/spreadsheetml/2006/main">
  <c r="Z17" i="1" l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24" i="1"/>
  <c r="AA24" i="1" s="1"/>
  <c r="Z25" i="1"/>
  <c r="AA25" i="1" s="1"/>
  <c r="Z26" i="1"/>
  <c r="AA26" i="1" s="1"/>
  <c r="Z27" i="1"/>
  <c r="AA27" i="1" s="1"/>
  <c r="Z28" i="1"/>
  <c r="AA28" i="1" s="1"/>
  <c r="Z29" i="1"/>
  <c r="AA29" i="1" s="1"/>
  <c r="Z30" i="1"/>
  <c r="AA30" i="1" s="1"/>
  <c r="Z31" i="1"/>
  <c r="AA31" i="1" s="1"/>
  <c r="Z32" i="1"/>
  <c r="AA32" i="1" s="1"/>
  <c r="Z33" i="1"/>
  <c r="AA33" i="1" s="1"/>
  <c r="Z34" i="1"/>
  <c r="AA34" i="1" s="1"/>
  <c r="Z35" i="1"/>
  <c r="AA35" i="1" s="1"/>
  <c r="Z36" i="1"/>
  <c r="AA36" i="1" s="1"/>
  <c r="Z37" i="1"/>
  <c r="AA37" i="1" s="1"/>
  <c r="H13" i="1"/>
  <c r="Z13" i="1" s="1"/>
  <c r="H16" i="1"/>
  <c r="Z16" i="1" s="1"/>
  <c r="AB31" i="1" l="1"/>
  <c r="AC23" i="1"/>
  <c r="AF23" i="1" s="1"/>
  <c r="AC19" i="1"/>
  <c r="AF19" i="1" s="1"/>
  <c r="AC30" i="1"/>
  <c r="AF30" i="1" s="1"/>
  <c r="AB26" i="1"/>
  <c r="AC22" i="1"/>
  <c r="AF22" i="1" s="1"/>
  <c r="AB18" i="1"/>
  <c r="AC37" i="1"/>
  <c r="AF37" i="1" s="1"/>
  <c r="AB33" i="1"/>
  <c r="AB29" i="1"/>
  <c r="AB25" i="1"/>
  <c r="AC21" i="1"/>
  <c r="AF21" i="1" s="1"/>
  <c r="AB17" i="1"/>
  <c r="AB36" i="1"/>
  <c r="AB32" i="1"/>
  <c r="AC28" i="1"/>
  <c r="AF28" i="1" s="1"/>
  <c r="AC24" i="1"/>
  <c r="AF24" i="1" s="1"/>
  <c r="AC20" i="1"/>
  <c r="AF20" i="1" s="1"/>
  <c r="AB35" i="1"/>
  <c r="AB27" i="1"/>
  <c r="AB34" i="1"/>
  <c r="AC34" i="1"/>
  <c r="AF34" i="1" s="1"/>
  <c r="AC35" i="1"/>
  <c r="AF35" i="1" s="1"/>
  <c r="AC27" i="1"/>
  <c r="AF27" i="1" s="1"/>
  <c r="AD34" i="1" l="1"/>
  <c r="AD20" i="1"/>
  <c r="AD22" i="1"/>
  <c r="AD23" i="1"/>
  <c r="AD24" i="1"/>
  <c r="AD27" i="1"/>
  <c r="AD28" i="1"/>
  <c r="AD21" i="1"/>
  <c r="AD37" i="1"/>
  <c r="AD30" i="1"/>
  <c r="AD35" i="1"/>
  <c r="AD19" i="1"/>
  <c r="AB19" i="1"/>
  <c r="AC36" i="1"/>
  <c r="AF36" i="1" s="1"/>
  <c r="AB37" i="1"/>
  <c r="AC31" i="1"/>
  <c r="AF31" i="1" s="1"/>
  <c r="AC26" i="1"/>
  <c r="AF26" i="1" s="1"/>
  <c r="AC25" i="1"/>
  <c r="AF25" i="1" s="1"/>
  <c r="AC32" i="1"/>
  <c r="AF32" i="1" s="1"/>
  <c r="AB23" i="1"/>
  <c r="AB20" i="1"/>
  <c r="AB21" i="1"/>
  <c r="AC18" i="1"/>
  <c r="AF18" i="1" s="1"/>
  <c r="AB30" i="1"/>
  <c r="AC29" i="1"/>
  <c r="AF29" i="1" s="1"/>
  <c r="AB24" i="1"/>
  <c r="AC17" i="1"/>
  <c r="AC33" i="1"/>
  <c r="AF33" i="1" s="1"/>
  <c r="AB28" i="1"/>
  <c r="AB22" i="1"/>
  <c r="AF17" i="1" l="1"/>
  <c r="AJ17" i="1"/>
  <c r="AD17" i="1"/>
  <c r="AD18" i="1"/>
  <c r="AD32" i="1"/>
  <c r="AD25" i="1"/>
  <c r="AD36" i="1"/>
  <c r="AD29" i="1"/>
  <c r="AD26" i="1"/>
  <c r="AD33" i="1"/>
  <c r="AD31" i="1"/>
  <c r="S13" i="1" l="1"/>
  <c r="T13" i="1" s="1"/>
  <c r="S14" i="1"/>
  <c r="T14" i="1" s="1"/>
  <c r="U14" i="1" s="1"/>
  <c r="S15" i="1"/>
  <c r="T15" i="1" s="1"/>
  <c r="U15" i="1" s="1"/>
  <c r="S16" i="1"/>
  <c r="T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22" i="1"/>
  <c r="T22" i="1" s="1"/>
  <c r="U22" i="1" s="1"/>
  <c r="S23" i="1"/>
  <c r="T23" i="1" s="1"/>
  <c r="U23" i="1" s="1"/>
  <c r="S24" i="1"/>
  <c r="T24" i="1" s="1"/>
  <c r="U24" i="1" s="1"/>
  <c r="S25" i="1"/>
  <c r="T25" i="1" s="1"/>
  <c r="U25" i="1" s="1"/>
  <c r="S26" i="1"/>
  <c r="T26" i="1" s="1"/>
  <c r="U26" i="1" s="1"/>
  <c r="S27" i="1"/>
  <c r="T27" i="1" s="1"/>
  <c r="U27" i="1" s="1"/>
  <c r="S28" i="1"/>
  <c r="T28" i="1" s="1"/>
  <c r="U28" i="1" s="1"/>
  <c r="S29" i="1"/>
  <c r="T29" i="1" s="1"/>
  <c r="U29" i="1" s="1"/>
  <c r="S30" i="1"/>
  <c r="T30" i="1" s="1"/>
  <c r="U30" i="1" s="1"/>
  <c r="S31" i="1"/>
  <c r="T31" i="1" s="1"/>
  <c r="U31" i="1" s="1"/>
  <c r="S32" i="1"/>
  <c r="T32" i="1" s="1"/>
  <c r="U32" i="1" s="1"/>
  <c r="S33" i="1"/>
  <c r="T33" i="1" s="1"/>
  <c r="U33" i="1" s="1"/>
  <c r="S34" i="1"/>
  <c r="T34" i="1" s="1"/>
  <c r="U34" i="1" s="1"/>
  <c r="S35" i="1"/>
  <c r="T35" i="1" s="1"/>
  <c r="U35" i="1" s="1"/>
  <c r="S36" i="1"/>
  <c r="T36" i="1" s="1"/>
  <c r="U36" i="1" s="1"/>
  <c r="S37" i="1"/>
  <c r="T37" i="1" s="1"/>
  <c r="U37" i="1" s="1"/>
  <c r="S12" i="1"/>
  <c r="T12" i="1" s="1"/>
  <c r="U12" i="1" s="1"/>
  <c r="H15" i="1"/>
  <c r="H14" i="1"/>
  <c r="Z14" i="1" s="1"/>
  <c r="H12" i="1"/>
  <c r="V36" i="1" l="1"/>
  <c r="X36" i="1"/>
  <c r="V32" i="1"/>
  <c r="X32" i="1"/>
  <c r="V28" i="1"/>
  <c r="X28" i="1"/>
  <c r="V24" i="1"/>
  <c r="X24" i="1"/>
  <c r="V20" i="1"/>
  <c r="X20" i="1"/>
  <c r="V37" i="1"/>
  <c r="X37" i="1"/>
  <c r="V35" i="1"/>
  <c r="AL35" i="1" s="1"/>
  <c r="X35" i="1"/>
  <c r="V31" i="1"/>
  <c r="X31" i="1"/>
  <c r="V27" i="1"/>
  <c r="X27" i="1"/>
  <c r="V23" i="1"/>
  <c r="X23" i="1"/>
  <c r="V19" i="1"/>
  <c r="X19" i="1"/>
  <c r="V12" i="1"/>
  <c r="X12" i="1"/>
  <c r="V34" i="1"/>
  <c r="AL34" i="1" s="1"/>
  <c r="X34" i="1"/>
  <c r="V30" i="1"/>
  <c r="X30" i="1"/>
  <c r="V26" i="1"/>
  <c r="AL26" i="1" s="1"/>
  <c r="X26" i="1"/>
  <c r="V22" i="1"/>
  <c r="X22" i="1"/>
  <c r="V18" i="1"/>
  <c r="AL18" i="1" s="1"/>
  <c r="X18" i="1"/>
  <c r="V14" i="1"/>
  <c r="X14" i="1"/>
  <c r="V33" i="1"/>
  <c r="X33" i="1"/>
  <c r="V29" i="1"/>
  <c r="X29" i="1"/>
  <c r="V25" i="1"/>
  <c r="X25" i="1"/>
  <c r="V21" i="1"/>
  <c r="X21" i="1"/>
  <c r="V17" i="1"/>
  <c r="X17" i="1"/>
  <c r="V15" i="1"/>
  <c r="X15" i="1"/>
  <c r="AA15" i="1"/>
  <c r="AA12" i="1"/>
  <c r="AB12" i="1" s="1"/>
  <c r="U13" i="1"/>
  <c r="AA13" i="1"/>
  <c r="AA14" i="1"/>
  <c r="AB14" i="1" s="1"/>
  <c r="U16" i="1"/>
  <c r="AA16" i="1"/>
  <c r="W23" i="1"/>
  <c r="AL23" i="1"/>
  <c r="W31" i="1"/>
  <c r="AL31" i="1"/>
  <c r="W19" i="1"/>
  <c r="AL19" i="1"/>
  <c r="W37" i="1"/>
  <c r="AL37" i="1"/>
  <c r="W33" i="1"/>
  <c r="AL33" i="1"/>
  <c r="W29" i="1"/>
  <c r="AL29" i="1"/>
  <c r="W25" i="1"/>
  <c r="AL25" i="1"/>
  <c r="W21" i="1"/>
  <c r="AL21" i="1"/>
  <c r="W17" i="1"/>
  <c r="AL17" i="1"/>
  <c r="W32" i="1"/>
  <c r="AL32" i="1"/>
  <c r="W20" i="1"/>
  <c r="AL20" i="1"/>
  <c r="W36" i="1"/>
  <c r="AL36" i="1"/>
  <c r="W28" i="1"/>
  <c r="AL28" i="1"/>
  <c r="W24" i="1"/>
  <c r="AL24" i="1"/>
  <c r="Y15" i="1"/>
  <c r="W35" i="1"/>
  <c r="W27" i="1"/>
  <c r="AL27" i="1"/>
  <c r="W34" i="1"/>
  <c r="W30" i="1"/>
  <c r="AL30" i="1"/>
  <c r="W26" i="1"/>
  <c r="W22" i="1"/>
  <c r="AL22" i="1"/>
  <c r="W18" i="1"/>
  <c r="W14" i="1"/>
  <c r="W15" i="1"/>
  <c r="W12" i="1"/>
  <c r="V13" i="1" l="1"/>
  <c r="X13" i="1"/>
  <c r="V16" i="1"/>
  <c r="X16" i="1"/>
  <c r="W13" i="1"/>
  <c r="W16" i="1"/>
  <c r="AC12" i="1"/>
  <c r="AC14" i="1"/>
  <c r="AB13" i="1"/>
  <c r="AC13" i="1"/>
  <c r="AB15" i="1"/>
  <c r="AC15" i="1"/>
  <c r="AB16" i="1"/>
  <c r="AC16" i="1"/>
  <c r="AJ14" i="1" l="1"/>
  <c r="AI14" i="1"/>
  <c r="AH14" i="1"/>
  <c r="AG14" i="1"/>
  <c r="AF15" i="1"/>
  <c r="AF14" i="1"/>
  <c r="AF16" i="1"/>
  <c r="AF13" i="1"/>
  <c r="AF12" i="1"/>
  <c r="AD12" i="1"/>
  <c r="AH12" i="1" s="1"/>
  <c r="AD15" i="1"/>
  <c r="AH15" i="1" s="1"/>
  <c r="AD14" i="1"/>
  <c r="AD16" i="1"/>
  <c r="AH16" i="1" s="1"/>
  <c r="AD13" i="1"/>
  <c r="AH13" i="1" s="1"/>
  <c r="AK14" i="1" l="1"/>
  <c r="AL14" i="1" s="1"/>
  <c r="AG16" i="1"/>
  <c r="AI16" i="1" s="1"/>
  <c r="AJ16" i="1" s="1"/>
  <c r="AG12" i="1"/>
  <c r="AI12" i="1" s="1"/>
  <c r="AJ12" i="1" s="1"/>
  <c r="AG13" i="1"/>
  <c r="AG15" i="1"/>
  <c r="AI15" i="1" s="1"/>
  <c r="AJ15" i="1" s="1"/>
  <c r="AI13" i="1" l="1"/>
  <c r="AK12" i="1"/>
  <c r="AL12" i="1" s="1"/>
  <c r="AK16" i="1"/>
  <c r="AL16" i="1" s="1"/>
  <c r="AK15" i="1"/>
  <c r="AL15" i="1" s="1"/>
  <c r="AJ13" i="1" l="1"/>
  <c r="AK13" i="1" s="1"/>
  <c r="AL13" i="1" s="1"/>
</calcChain>
</file>

<file path=xl/sharedStrings.xml><?xml version="1.0" encoding="utf-8"?>
<sst xmlns="http://schemas.openxmlformats.org/spreadsheetml/2006/main" count="152" uniqueCount="112">
  <si>
    <t>Captação 1</t>
  </si>
  <si>
    <t>Captação 2</t>
  </si>
  <si>
    <t>Elevatória de Água 1</t>
  </si>
  <si>
    <t>Booster Zona Alta</t>
  </si>
  <si>
    <t>Elevatória de Água 2</t>
  </si>
  <si>
    <t>Tipo de motor</t>
  </si>
  <si>
    <t>Estação elevatória</t>
  </si>
  <si>
    <t>Qtde. bombas em operação simultânea</t>
  </si>
  <si>
    <t>Potência de cada motor [kW]</t>
  </si>
  <si>
    <t>Período de análise - mín 2 [meses]</t>
  </si>
  <si>
    <t>Volume elevado no período [m³]</t>
  </si>
  <si>
    <t>Origem dos dados de volume</t>
  </si>
  <si>
    <t>estimativa</t>
  </si>
  <si>
    <t>Água</t>
  </si>
  <si>
    <t>Dados Base</t>
  </si>
  <si>
    <t xml:space="preserve"> Avaliação do Rendimento de Estações Elevatórias e Cálculo do Potencial de Economia</t>
  </si>
  <si>
    <t>Altura manométrica média [m]</t>
  </si>
  <si>
    <t>dados de projeto</t>
  </si>
  <si>
    <t>placa da bomba</t>
  </si>
  <si>
    <t>Origem dos dados de energia elétrica</t>
  </si>
  <si>
    <t>Energia Elétrica</t>
  </si>
  <si>
    <t>A</t>
  </si>
  <si>
    <t>B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</si>
  <si>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</si>
  <si>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</si>
  <si>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</si>
  <si>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</si>
  <si>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</si>
  <si>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</si>
  <si>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</si>
  <si>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</si>
  <si>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</si>
  <si>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</si>
  <si>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</si>
  <si>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</si>
  <si>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</si>
  <si>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</si>
  <si>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</si>
  <si>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</si>
  <si>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C</t>
  </si>
  <si>
    <t>D</t>
  </si>
  <si>
    <t>U</t>
  </si>
  <si>
    <t>V</t>
  </si>
  <si>
    <t>X</t>
  </si>
  <si>
    <t>W</t>
  </si>
  <si>
    <t>Y</t>
  </si>
  <si>
    <t>Z</t>
  </si>
  <si>
    <t>Código</t>
  </si>
  <si>
    <t>01/2016 a 12/2016</t>
  </si>
  <si>
    <t>11/2016 a 04/2017</t>
  </si>
  <si>
    <t>Período de Análise</t>
  </si>
  <si>
    <t>Período de análise [mm/aaaa]</t>
  </si>
  <si>
    <t>externo</t>
  </si>
  <si>
    <t>submerso</t>
  </si>
  <si>
    <t>Energia elétrica consumida no período [kWh]</t>
  </si>
  <si>
    <t>Erro relativo à energia elétrica [±%]</t>
  </si>
  <si>
    <t>Ph5
[kWh/
(m³x100m)]</t>
  </si>
  <si>
    <t>Potência a partir de [kW]</t>
  </si>
  <si>
    <t>Desempenho insuficiente e baixa confiabilidade</t>
  </si>
  <si>
    <t>Desempenho insuficiente</t>
  </si>
  <si>
    <t>Desempenho mediano</t>
  </si>
  <si>
    <t>Bom desempenho</t>
  </si>
  <si>
    <t>Bom desempenho, mas baixa confiabilidade</t>
  </si>
  <si>
    <t>Valor sem credibilidade</t>
  </si>
  <si>
    <t>Tarifa média de energia (apenas consumo) [R$/kWh]</t>
  </si>
  <si>
    <t>Potencial de redução energética [kWh/mês]</t>
  </si>
  <si>
    <t>Potencial de economia [R$/mês]</t>
  </si>
  <si>
    <t>Payback [meses]</t>
  </si>
  <si>
    <t>Valores Esperados de Rendimento</t>
  </si>
  <si>
    <t>Rendimento [%]</t>
  </si>
  <si>
    <t>Cálculo da Eficiência Atual</t>
  </si>
  <si>
    <t>Altura Manométrica</t>
  </si>
  <si>
    <t>Origem dos dados de altura manométrica</t>
  </si>
  <si>
    <t>Erro relativo à altura manométrica [±%]</t>
  </si>
  <si>
    <t>Conjunto Moto-Bomba Atual</t>
  </si>
  <si>
    <t>Intervenção no Sistema</t>
  </si>
  <si>
    <t>Custo total da intervenção [R$]</t>
  </si>
  <si>
    <t>Rendimento esperado após a intervenção [%]</t>
  </si>
  <si>
    <t>Avaliação da Situação Atual</t>
  </si>
  <si>
    <t>Desempenho da estação elevatória</t>
  </si>
  <si>
    <t>Medida recomendável</t>
  </si>
  <si>
    <t>OK</t>
  </si>
  <si>
    <t>Provavelmente OK, mas rever coleta de dados</t>
  </si>
  <si>
    <t>Provável necessidade de manutenção, mas antes rever coleta de dados</t>
  </si>
  <si>
    <t>Realizar manutenção</t>
  </si>
  <si>
    <t>Agendar manutenção</t>
  </si>
  <si>
    <t>Refazer coleta de dados</t>
  </si>
  <si>
    <t>Economia Mensal</t>
  </si>
  <si>
    <t>Avaliação do Investimento</t>
  </si>
  <si>
    <t>Estratégia recomendável</t>
  </si>
  <si>
    <t>Respostas Tipo</t>
  </si>
  <si>
    <t>macromedidor</t>
  </si>
  <si>
    <t>manômetro</t>
  </si>
  <si>
    <t>medidor exclusivo</t>
  </si>
  <si>
    <t>medidor  compartilhado</t>
  </si>
  <si>
    <r>
      <t>Erro relativo ao volume [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1"/>
      </rPr>
      <t>%]</t>
    </r>
  </si>
  <si>
    <r>
      <t>Fator de uniformização [m³</t>
    </r>
    <r>
      <rPr>
        <sz val="11"/>
        <color theme="1"/>
        <rFont val="Calibri"/>
        <family val="1"/>
      </rPr>
      <t>x</t>
    </r>
    <r>
      <rPr>
        <sz val="11"/>
        <color theme="1"/>
        <rFont val="Calibri"/>
        <family val="1"/>
        <scheme val="minor"/>
      </rPr>
      <t>100m]</t>
    </r>
  </si>
  <si>
    <r>
      <t>Potencial de redução nas emissões de gases-estufa [kgCO</t>
    </r>
    <r>
      <rPr>
        <vertAlign val="subscript"/>
        <sz val="11"/>
        <color theme="1"/>
        <rFont val="Calibri"/>
        <family val="1"/>
        <scheme val="minor"/>
      </rPr>
      <t>2</t>
    </r>
    <r>
      <rPr>
        <sz val="11"/>
        <color theme="1"/>
        <rFont val="Calibri"/>
        <family val="1"/>
        <scheme val="minor"/>
      </rPr>
      <t>/mês]</t>
    </r>
  </si>
  <si>
    <t>Payback máximo [meses]</t>
  </si>
  <si>
    <t>Payback mínimo [meses]</t>
  </si>
  <si>
    <t>confiança payback</t>
  </si>
  <si>
    <t>Classificação do Payback</t>
  </si>
  <si>
    <t>desvio padrão  [meses]</t>
  </si>
  <si>
    <t xml:space="preserve">Introdução </t>
  </si>
  <si>
    <t>O objetivo da presente planilha é a realização de um “Monitoramento e Pré-diagnóstico da eficiência eletromecânica” que consiste em um procedimento expedito relativo com periodicidade mensal que permite monitorar o rendimento eletromecânico e estimar os potenciais de economia em sistemas elevatórios de água nas entidades prestadoras de serviços de saneamento.</t>
  </si>
  <si>
    <t> </t>
  </si>
  <si>
    <t>A planilha pretende ser uma ferramenta de apoio à decisão para intervenções de manutenção dirigida e para a substituição de equipamentos que permitam usar os potenciais de economia existentes nos equipamentos com baixo rendimento.</t>
  </si>
  <si>
    <t>ProEESA - Projeto de Eficiência Energética em Sistemas de Abastecimento de Água</t>
  </si>
  <si>
    <t>cavaleiro@akut-umwelt.de</t>
  </si>
  <si>
    <t>Para uma quantidade reduzida de estações elevatórias (inferior a cerca de 200 unidades consumidoras) a planilha pode ser usada a integrar dados hidráulicos, mecânicos, elétricos e financeiros, com relatórios que facilitem a tomada de decisão na área operacional, de manutenção e de substituição dos equipamentos.</t>
  </si>
  <si>
    <t xml:space="preserve">Ao preencher a aba "Cálculo de EE" é necessário preencher as células em branco. As células em cinza o preenchimento deve ser automático (estendendo a formatação). </t>
  </si>
  <si>
    <t>Data: outubro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</si>
</sst>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#,##0.0"/>
    <numFmt numFmtId="167" formatCode="\±\ #,##0"/>
    <numFmt numFmtId="168" formatCode="\±\ 0"/>
  </numFmts>
  <fonts count="22" x14ac:knownFonts="1">
    <font>
      <sz val="11"/>
      <color theme="1"/>
      <name val="Calibri"/>
      <family val="2"/>
      <scheme val="minor"/>
    </font>
    <font>
      <b/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4FF"/>
      <name val="Calibri"/>
      <family val="2"/>
      <scheme val="minor"/>
    </font>
    <font>
      <b/>
      <sz val="20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</font>
    <font>
      <sz val="11"/>
      <color theme="1"/>
      <name val="Calibri"/>
      <family val="1"/>
    </font>
    <font>
      <sz val="11"/>
      <color theme="1"/>
      <name val="Calibri"/>
      <family val="1"/>
      <scheme val="minor"/>
    </font>
    <font>
      <vertAlign val="subscript"/>
      <sz val="11"/>
      <color theme="1"/>
      <name val="Calibri"/>
      <family val="1"/>
      <scheme val="minor"/>
    </font>
    <font>
      <sz val="10"/>
      <color theme="1"/>
      <name val="Calibri"/>
      <family val="2"/>
      <scheme val="minor"/>
    </font>
    <font>
      <sz val="10"/>
      <color rgb="FF0064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sz val="10"/>
      <color theme="1"/>
      <name val="Calibri"/>
      <family val="1"/>
      <charset val="1"/>
      <scheme val="minor"/>
    </font>
    <font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7C5"/>
        <bgColor indexed="64"/>
      </patternFill>
    </fill>
    <fill>
      <patternFill patternType="solid">
        <fgColor rgb="FFCCAE7F"/>
        <bgColor indexed="64"/>
      </patternFill>
    </fill>
    <fill>
      <patternFill patternType="solid">
        <fgColor rgb="FF7AB3A7"/>
        <bgColor indexed="64"/>
      </patternFill>
    </fill>
    <fill>
      <patternFill patternType="solid">
        <fgColor rgb="FFFB9A2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139">
    <xf numFmtId="0" fontId="0" fillId="0" borderId="0" xfId="0"/>
    <xf numFmtId="0" fontId="1" fillId="3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3" borderId="0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0" fontId="0" fillId="11" borderId="3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1" borderId="2" xfId="0" applyFill="1" applyBorder="1" applyAlignment="1">
      <alignment vertical="center" wrapText="1"/>
    </xf>
    <xf numFmtId="0" fontId="0" fillId="8" borderId="2" xfId="0" applyFill="1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9" borderId="2" xfId="0" applyFill="1" applyBorder="1" applyAlignment="1">
      <alignment vertical="center" wrapText="1"/>
    </xf>
    <xf numFmtId="0" fontId="0" fillId="12" borderId="2" xfId="0" applyFill="1" applyBorder="1" applyAlignment="1">
      <alignment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 wrapText="1"/>
    </xf>
    <xf numFmtId="0" fontId="5" fillId="3" borderId="0" xfId="0" applyFont="1" applyFill="1" applyBorder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8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/>
    </xf>
    <xf numFmtId="0" fontId="9" fillId="3" borderId="6" xfId="0" applyFont="1" applyFill="1" applyBorder="1"/>
    <xf numFmtId="0" fontId="9" fillId="0" borderId="0" xfId="0" applyFont="1" applyBorder="1"/>
    <xf numFmtId="0" fontId="10" fillId="3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166" fontId="7" fillId="0" borderId="2" xfId="0" applyNumberFormat="1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164" fontId="7" fillId="0" borderId="14" xfId="0" applyNumberFormat="1" applyFont="1" applyFill="1" applyBorder="1" applyAlignment="1">
      <alignment vertical="center"/>
    </xf>
    <xf numFmtId="168" fontId="7" fillId="0" borderId="12" xfId="0" applyNumberFormat="1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vertical="center"/>
    </xf>
    <xf numFmtId="3" fontId="7" fillId="0" borderId="14" xfId="0" applyNumberFormat="1" applyFont="1" applyFill="1" applyBorder="1" applyAlignment="1">
      <alignment vertical="center"/>
    </xf>
    <xf numFmtId="167" fontId="7" fillId="0" borderId="12" xfId="0" applyNumberFormat="1" applyFont="1" applyFill="1" applyBorder="1" applyAlignment="1">
      <alignment horizontal="left" vertical="center"/>
    </xf>
    <xf numFmtId="1" fontId="7" fillId="0" borderId="5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2" fontId="5" fillId="0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7" fillId="0" borderId="11" xfId="0" applyNumberFormat="1" applyFont="1" applyFill="1" applyBorder="1" applyAlignment="1">
      <alignment vertical="center"/>
    </xf>
    <xf numFmtId="168" fontId="7" fillId="0" borderId="13" xfId="0" applyNumberFormat="1" applyFont="1" applyFill="1" applyBorder="1" applyAlignment="1">
      <alignment horizontal="left" vertical="center"/>
    </xf>
    <xf numFmtId="3" fontId="7" fillId="0" borderId="11" xfId="0" applyNumberFormat="1" applyFont="1" applyFill="1" applyBorder="1" applyAlignment="1">
      <alignment vertical="center"/>
    </xf>
    <xf numFmtId="167" fontId="7" fillId="0" borderId="13" xfId="0" applyNumberFormat="1" applyFont="1" applyFill="1" applyBorder="1" applyAlignment="1">
      <alignment horizontal="left" vertical="center"/>
    </xf>
    <xf numFmtId="0" fontId="5" fillId="3" borderId="6" xfId="0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167" fontId="7" fillId="0" borderId="4" xfId="0" applyNumberFormat="1" applyFont="1" applyFill="1" applyBorder="1" applyAlignment="1">
      <alignment horizontal="left" vertical="center"/>
    </xf>
    <xf numFmtId="167" fontId="7" fillId="0" borderId="16" xfId="0" applyNumberFormat="1" applyFont="1" applyFill="1" applyBorder="1" applyAlignment="1">
      <alignment horizontal="left" vertical="center"/>
    </xf>
    <xf numFmtId="3" fontId="5" fillId="3" borderId="0" xfId="0" applyNumberFormat="1" applyFont="1" applyFill="1" applyBorder="1"/>
    <xf numFmtId="9" fontId="7" fillId="0" borderId="5" xfId="1" applyFont="1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6" borderId="15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9" fillId="0" borderId="0" xfId="2" applyFont="1"/>
    <xf numFmtId="0" fontId="18" fillId="0" borderId="0" xfId="2"/>
    <xf numFmtId="0" fontId="20" fillId="0" borderId="0" xfId="0" applyFont="1" applyAlignment="1">
      <alignment wrapText="1"/>
    </xf>
    <xf numFmtId="166" fontId="17" fillId="13" borderId="2" xfId="0" applyNumberFormat="1" applyFont="1" applyFill="1" applyBorder="1" applyAlignment="1">
      <alignment vertical="center"/>
    </xf>
    <xf numFmtId="165" fontId="17" fillId="13" borderId="3" xfId="0" applyNumberFormat="1" applyFont="1" applyFill="1" applyBorder="1" applyAlignment="1">
      <alignment vertical="center"/>
    </xf>
    <xf numFmtId="164" fontId="17" fillId="13" borderId="14" xfId="0" applyNumberFormat="1" applyFont="1" applyFill="1" applyBorder="1" applyAlignment="1">
      <alignment vertical="center"/>
    </xf>
    <xf numFmtId="168" fontId="17" fillId="13" borderId="12" xfId="0" applyNumberFormat="1" applyFont="1" applyFill="1" applyBorder="1" applyAlignment="1">
      <alignment horizontal="left" vertical="center"/>
    </xf>
    <xf numFmtId="3" fontId="17" fillId="13" borderId="2" xfId="0" applyNumberFormat="1" applyFont="1" applyFill="1" applyBorder="1" applyAlignment="1">
      <alignment vertical="center"/>
    </xf>
    <xf numFmtId="3" fontId="17" fillId="13" borderId="3" xfId="0" applyNumberFormat="1" applyFont="1" applyFill="1" applyBorder="1" applyAlignment="1">
      <alignment vertical="center"/>
    </xf>
    <xf numFmtId="3" fontId="17" fillId="13" borderId="14" xfId="0" applyNumberFormat="1" applyFont="1" applyFill="1" applyBorder="1" applyAlignment="1">
      <alignment vertical="center"/>
    </xf>
    <xf numFmtId="167" fontId="17" fillId="13" borderId="12" xfId="0" applyNumberFormat="1" applyFont="1" applyFill="1" applyBorder="1" applyAlignment="1">
      <alignment horizontal="left" vertical="center"/>
    </xf>
    <xf numFmtId="1" fontId="17" fillId="13" borderId="5" xfId="0" applyNumberFormat="1" applyFont="1" applyFill="1" applyBorder="1" applyAlignment="1">
      <alignment vertical="center"/>
    </xf>
    <xf numFmtId="2" fontId="17" fillId="13" borderId="5" xfId="0" applyNumberFormat="1" applyFont="1" applyFill="1" applyBorder="1" applyAlignment="1">
      <alignment vertical="center"/>
    </xf>
    <xf numFmtId="9" fontId="17" fillId="13" borderId="5" xfId="1" applyFont="1" applyFill="1" applyBorder="1" applyAlignment="1">
      <alignment vertical="center"/>
    </xf>
    <xf numFmtId="164" fontId="17" fillId="13" borderId="5" xfId="0" applyNumberFormat="1" applyFont="1" applyFill="1" applyBorder="1" applyAlignment="1">
      <alignment vertical="center"/>
    </xf>
    <xf numFmtId="0" fontId="21" fillId="13" borderId="2" xfId="0" applyFont="1" applyFill="1" applyBorder="1" applyAlignment="1">
      <alignment horizontal="left" vertical="center" wrapText="1"/>
    </xf>
    <xf numFmtId="9" fontId="17" fillId="13" borderId="5" xfId="1" applyFont="1" applyFill="1" applyBorder="1" applyAlignment="1">
      <alignment horizontal="center" vertical="center"/>
    </xf>
  </cellXfs>
  <cellStyles count="3">
    <cellStyle name="Normal" xfId="0" builtinId="0"/>
    <cellStyle name="Normal 3" xfId="2" xr:uid="{B7DE21A2-C197-408B-B555-2D306B935881}"/>
    <cellStyle name="Porcentagem" xfId="1" builtinId="5"/>
  </cellStyles>
  <dxfs count="12">
    <dxf>
      <fill>
        <patternFill>
          <bgColor theme="0" tint="-4.9989318521683403E-2"/>
        </patternFill>
      </fill>
    </dxf>
    <dxf>
      <fill>
        <patternFill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4.9989318521683403E-2"/>
        </patternFill>
      </fill>
    </dxf>
    <dxf>
      <fill>
        <patternFill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colors>
    <mruColors>
      <color rgb="FF0064FF"/>
      <color rgb="FFFB9A26"/>
      <color rgb="FF00B7C5"/>
      <color rgb="FFCCAE7F"/>
      <color rgb="FF7AB3A7"/>
      <color rgb="FF69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25037</xdr:colOff>
      <xdr:row>0</xdr:row>
      <xdr:rowOff>43542</xdr:rowOff>
    </xdr:from>
    <xdr:to>
      <xdr:col>1</xdr:col>
      <xdr:colOff>5971751</xdr:colOff>
      <xdr:row>5</xdr:row>
      <xdr:rowOff>1216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0D8B37-E09F-4889-9FE7-E6F41B7F3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987" y="43542"/>
          <a:ext cx="5946714" cy="751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336168</xdr:colOff>
      <xdr:row>7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8603868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269493</xdr:colOff>
      <xdr:row>7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0500"/>
          <a:ext cx="8603868" cy="114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450468</xdr:colOff>
      <xdr:row>7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0500"/>
          <a:ext cx="8603868" cy="1143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.ferreira/Dropbox/_PCJ_Rede/Exerc&#237;cios/Exercicio%209%20Eficiencia%20Eletromecanica/Exerc&#237;cios_EE_Eletromec&#226;nica/ProEESA%20Efi%20Eletromec%201806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sumo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lama&#231;&#245;e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rtela%20Pimenta/Dropbox/AA%20INDICADORES%20MEXICO/SISTEMAS%20DE%20INDICADORES%20ANALISADOS/ERSAR/quadros%20de%20apoio%20ERSAR/ERSAR_Apoio_ALTA_AA_20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.ferreira/Dropbox/_PCJ_Coord/prepara&#231;&#227;o%205%20reuni&#227;o%2013.07/Gestao%20Patrimonial/C&#243;pia%20de%20Indice%20de%20conhecimento%20das%20infra-estruturas%20Brasil%202017vs%202904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ção "/>
      <sheetName val="Cálculo de EE"/>
      <sheetName val="Tabelas de Eficiência"/>
      <sheetName val="Ex.Rel diretivo"/>
      <sheetName val="Ex. Rel operacional"/>
      <sheetName val="Ex. Rel fiab"/>
      <sheetName val="Ex. Rel Histórico"/>
      <sheetName val="aux"/>
    </sheetNames>
    <sheetDataSet>
      <sheetData sheetId="0"/>
      <sheetData sheetId="1">
        <row r="9">
          <cell r="V9">
            <v>1.218341759429908</v>
          </cell>
        </row>
        <row r="10">
          <cell r="V10">
            <v>-0.13920566661913159</v>
          </cell>
        </row>
        <row r="11">
          <cell r="V11">
            <v>0.2550237477576483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lamaçõe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Alojamentos"/>
      <sheetName val="Reclamações"/>
      <sheetName val="Falhas"/>
      <sheetName val="Avarias"/>
      <sheetName val="Captações"/>
      <sheetName val="Volumes de Água"/>
      <sheetName val="Balanço Hídrico"/>
      <sheetName val="Volumes de Água - 2"/>
      <sheetName val="Energia bombeamento"/>
      <sheetName val="Outros consumos Energia"/>
      <sheetName val="Infraestruturas - Condutas"/>
      <sheetName val="Infraestruturas - Reabilitação"/>
      <sheetName val="Infraestruturas-Tratamento"/>
      <sheetName val="Infraestruturas - Reservatório"/>
      <sheetName val="Indice de conhecimento infra"/>
      <sheetName val="Lamas do Tratamento"/>
      <sheetName val="Certificações"/>
      <sheetName val="Recursos Humanos - Pessoal"/>
      <sheetName val="Recursos Humanos - Outsourcing"/>
      <sheetName val="Sheet1"/>
      <sheetName val="Listas"/>
      <sheetName val="Fiabilidad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8">
          <cell r="F28" t="str">
            <v>Estação elevatória</v>
          </cell>
        </row>
        <row r="29">
          <cell r="F29" t="str">
            <v>Captação</v>
          </cell>
        </row>
      </sheetData>
      <sheetData sheetId="22">
        <row r="44">
          <cell r="D44" t="str">
            <v>Valor determinado com base em leituras reais dos contadores de energia, efetuadas pela entidade gestora ou pela entidade fornecedora da energia elétrica</v>
          </cell>
        </row>
        <row r="45">
          <cell r="D45" t="str">
            <v>Valor determinado com base em estimativas da entidade gestora</v>
          </cell>
        </row>
        <row r="48">
          <cell r="D48" t="str">
            <v>Fator de uniformização em que as parcelas são obtidas por medição de volumes e por determinação de alturas manométricas</v>
          </cell>
        </row>
        <row r="49">
          <cell r="D49" t="str">
            <v>Fator de uniformização em que as parcelas são obtidas por estimativas dos volumes e das alturas manométricas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ção "/>
      <sheetName val="ICI"/>
      <sheetName val="IGPI"/>
      <sheetName val="IMC"/>
      <sheetName val="APOIO"/>
      <sheetName val="Fiabilidade"/>
      <sheetName val="Listas"/>
    </sheetNames>
    <sheetDataSet>
      <sheetData sheetId="0"/>
      <sheetData sheetId="1">
        <row r="18">
          <cell r="DF18" t="str">
            <v>Sim</v>
          </cell>
        </row>
        <row r="19">
          <cell r="DF19" t="str">
            <v>Não para número de ramais inferior a 75%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7DEF-990F-449A-B68A-97744E3F5446}">
  <dimension ref="B8:B23"/>
  <sheetViews>
    <sheetView tabSelected="1" zoomScaleNormal="100" workbookViewId="0">
      <selection activeCell="B21" sqref="B21"/>
    </sheetView>
  </sheetViews>
  <sheetFormatPr defaultColWidth="8.81640625" defaultRowHeight="12.5" x14ac:dyDescent="0.25"/>
  <cols>
    <col min="1" max="1" width="8.81640625" style="123"/>
    <col min="2" max="2" width="124.453125" style="123" customWidth="1"/>
    <col min="3" max="16384" width="8.81640625" style="123"/>
  </cols>
  <sheetData>
    <row r="8" spans="2:2" ht="30" x14ac:dyDescent="0.6">
      <c r="B8" s="122" t="s">
        <v>103</v>
      </c>
    </row>
    <row r="9" spans="2:2" ht="39" x14ac:dyDescent="0.3">
      <c r="B9" s="124" t="s">
        <v>104</v>
      </c>
    </row>
    <row r="10" spans="2:2" ht="13" x14ac:dyDescent="0.3">
      <c r="B10" s="124" t="s">
        <v>105</v>
      </c>
    </row>
    <row r="11" spans="2:2" ht="26" x14ac:dyDescent="0.3">
      <c r="B11" s="124" t="s">
        <v>106</v>
      </c>
    </row>
    <row r="12" spans="2:2" ht="13" x14ac:dyDescent="0.3">
      <c r="B12" s="124" t="s">
        <v>105</v>
      </c>
    </row>
    <row r="13" spans="2:2" ht="39" x14ac:dyDescent="0.3">
      <c r="B13" s="124" t="s">
        <v>109</v>
      </c>
    </row>
    <row r="14" spans="2:2" ht="13" x14ac:dyDescent="0.3">
      <c r="B14" s="124" t="s">
        <v>105</v>
      </c>
    </row>
    <row r="15" spans="2:2" ht="26" x14ac:dyDescent="0.3">
      <c r="B15" s="124" t="s">
        <v>110</v>
      </c>
    </row>
    <row r="17" spans="2:2" ht="13" x14ac:dyDescent="0.3">
      <c r="B17" s="124"/>
    </row>
    <row r="18" spans="2:2" ht="13" x14ac:dyDescent="0.3">
      <c r="B18" s="124" t="s">
        <v>105</v>
      </c>
    </row>
    <row r="19" spans="2:2" ht="13" x14ac:dyDescent="0.3">
      <c r="B19" s="124" t="s">
        <v>111</v>
      </c>
    </row>
    <row r="20" spans="2:2" ht="13" x14ac:dyDescent="0.3">
      <c r="B20" s="124" t="s">
        <v>105</v>
      </c>
    </row>
    <row r="21" spans="2:2" ht="13" x14ac:dyDescent="0.3">
      <c r="B21" s="124" t="s">
        <v>107</v>
      </c>
    </row>
    <row r="22" spans="2:2" ht="13" x14ac:dyDescent="0.3">
      <c r="B22" s="124" t="s">
        <v>105</v>
      </c>
    </row>
    <row r="23" spans="2:2" ht="13" x14ac:dyDescent="0.3">
      <c r="B23" s="124" t="s">
        <v>108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7"/>
  <sheetViews>
    <sheetView zoomScale="70" zoomScaleNormal="70" workbookViewId="0">
      <pane xSplit="3" ySplit="11" topLeftCell="D12" activePane="bottomRight" state="frozen"/>
      <selection pane="topRight" activeCell="C1" sqref="C1"/>
      <selection pane="bottomLeft" activeCell="A12" sqref="A12"/>
      <selection pane="bottomRight" activeCell="AK12" sqref="AK12:AK16"/>
    </sheetView>
  </sheetViews>
  <sheetFormatPr defaultColWidth="9.1796875" defaultRowHeight="15" customHeight="1" x14ac:dyDescent="0.35"/>
  <cols>
    <col min="1" max="1" width="1.7265625" style="90" customWidth="1"/>
    <col min="2" max="2" width="8.26953125" style="91" bestFit="1" customWidth="1"/>
    <col min="3" max="3" width="19.1796875" style="92" bestFit="1" customWidth="1"/>
    <col min="4" max="4" width="14" style="92" bestFit="1" customWidth="1"/>
    <col min="5" max="5" width="16.7265625" style="92" bestFit="1" customWidth="1"/>
    <col min="6" max="6" width="9.81640625" style="92" bestFit="1" customWidth="1"/>
    <col min="7" max="7" width="14.7265625" style="92" bestFit="1" customWidth="1"/>
    <col min="8" max="8" width="12.7265625" style="92" bestFit="1" customWidth="1"/>
    <col min="9" max="9" width="14.453125" style="92" bestFit="1" customWidth="1"/>
    <col min="10" max="11" width="14.1796875" style="92" bestFit="1" customWidth="1"/>
    <col min="12" max="12" width="14.54296875" style="92" bestFit="1" customWidth="1"/>
    <col min="13" max="13" width="20.453125" style="92" customWidth="1"/>
    <col min="14" max="14" width="20.26953125" style="92" bestFit="1" customWidth="1"/>
    <col min="15" max="15" width="17.1796875" style="92" bestFit="1" customWidth="1"/>
    <col min="16" max="16" width="34.54296875" style="92" customWidth="1"/>
    <col min="17" max="17" width="14.26953125" style="92" bestFit="1" customWidth="1"/>
    <col min="18" max="18" width="22" style="92" bestFit="1" customWidth="1"/>
    <col min="19" max="19" width="15.81640625" style="92" customWidth="1"/>
    <col min="20" max="20" width="13.7265625" style="92" bestFit="1" customWidth="1"/>
    <col min="21" max="21" width="7.7265625" style="92" customWidth="1"/>
    <col min="22" max="22" width="5.7265625" style="92" customWidth="1"/>
    <col min="23" max="23" width="23.26953125" style="93" customWidth="1"/>
    <col min="24" max="24" width="30.54296875" style="93" customWidth="1"/>
    <col min="25" max="25" width="14.81640625" style="92" bestFit="1" customWidth="1"/>
    <col min="26" max="26" width="17.7265625" style="92" bestFit="1" customWidth="1"/>
    <col min="27" max="27" width="20.54296875" style="92" bestFit="1" customWidth="1"/>
    <col min="28" max="28" width="23.453125" style="92" customWidth="1"/>
    <col min="29" max="31" width="7.453125" style="92" customWidth="1"/>
    <col min="32" max="32" width="9.54296875" style="92" bestFit="1" customWidth="1"/>
    <col min="33" max="37" width="9.54296875" style="92" customWidth="1"/>
    <col min="38" max="38" width="39.26953125" style="92" customWidth="1"/>
    <col min="39" max="16384" width="9.1796875" style="92"/>
  </cols>
  <sheetData>
    <row r="1" spans="1:42" s="41" customFormat="1" ht="15" customHeight="1" x14ac:dyDescent="0.35">
      <c r="B1" s="42"/>
      <c r="W1" s="43"/>
      <c r="X1" s="43"/>
    </row>
    <row r="2" spans="1:42" s="41" customFormat="1" ht="15" customHeight="1" x14ac:dyDescent="0.35">
      <c r="B2" s="42"/>
      <c r="W2" s="43"/>
      <c r="X2" s="43"/>
    </row>
    <row r="3" spans="1:42" s="41" customFormat="1" ht="15" customHeight="1" x14ac:dyDescent="0.35">
      <c r="B3" s="42"/>
      <c r="W3" s="43"/>
      <c r="X3" s="43"/>
    </row>
    <row r="4" spans="1:42" s="41" customFormat="1" ht="15" customHeight="1" x14ac:dyDescent="0.35">
      <c r="B4" s="42"/>
      <c r="W4" s="43"/>
      <c r="X4" s="43"/>
    </row>
    <row r="5" spans="1:42" s="41" customFormat="1" ht="15" customHeight="1" x14ac:dyDescent="0.35">
      <c r="B5" s="42"/>
      <c r="W5" s="43"/>
      <c r="X5" s="43"/>
      <c r="AG5" s="98"/>
      <c r="AH5" s="98"/>
      <c r="AI5" s="98"/>
      <c r="AJ5" s="98"/>
      <c r="AK5" s="98"/>
    </row>
    <row r="6" spans="1:42" s="41" customFormat="1" ht="15" customHeight="1" x14ac:dyDescent="0.35">
      <c r="B6" s="42"/>
    </row>
    <row r="7" spans="1:42" s="41" customFormat="1" ht="15" customHeight="1" x14ac:dyDescent="0.35">
      <c r="B7" s="42"/>
      <c r="W7" s="43"/>
      <c r="X7" s="43"/>
    </row>
    <row r="8" spans="1:42" s="41" customFormat="1" ht="15" customHeight="1" x14ac:dyDescent="0.35">
      <c r="B8" s="42"/>
      <c r="W8" s="43"/>
      <c r="X8" s="43"/>
    </row>
    <row r="9" spans="1:42" s="45" customFormat="1" ht="30" customHeight="1" x14ac:dyDescent="0.35">
      <c r="A9" s="41"/>
      <c r="B9" s="44"/>
      <c r="D9" s="46" t="s">
        <v>15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W9" s="47"/>
      <c r="X9" s="47"/>
      <c r="Y9" s="46"/>
      <c r="Z9" s="46"/>
    </row>
    <row r="10" spans="1:42" s="49" customFormat="1" ht="15" customHeight="1" thickBot="1" x14ac:dyDescent="0.35">
      <c r="A10" s="48"/>
      <c r="B10" s="101" t="s">
        <v>14</v>
      </c>
      <c r="C10" s="101"/>
      <c r="D10" s="102" t="s">
        <v>50</v>
      </c>
      <c r="E10" s="102"/>
      <c r="F10" s="105" t="s">
        <v>74</v>
      </c>
      <c r="G10" s="105"/>
      <c r="H10" s="105"/>
      <c r="I10" s="103" t="s">
        <v>13</v>
      </c>
      <c r="J10" s="103"/>
      <c r="K10" s="103"/>
      <c r="L10" s="104" t="s">
        <v>71</v>
      </c>
      <c r="M10" s="104"/>
      <c r="N10" s="104"/>
      <c r="O10" s="102" t="s">
        <v>20</v>
      </c>
      <c r="P10" s="102"/>
      <c r="Q10" s="102"/>
      <c r="R10" s="102"/>
      <c r="S10" s="116" t="s">
        <v>70</v>
      </c>
      <c r="T10" s="117"/>
      <c r="U10" s="117"/>
      <c r="V10" s="117"/>
      <c r="W10" s="110" t="s">
        <v>78</v>
      </c>
      <c r="X10" s="111"/>
      <c r="Y10" s="108" t="s">
        <v>75</v>
      </c>
      <c r="Z10" s="109"/>
      <c r="AA10" s="118" t="s">
        <v>87</v>
      </c>
      <c r="AB10" s="119"/>
      <c r="AC10" s="119"/>
      <c r="AD10" s="119"/>
      <c r="AE10" s="94"/>
      <c r="AF10" s="106" t="s">
        <v>88</v>
      </c>
      <c r="AG10" s="107"/>
      <c r="AH10" s="107"/>
      <c r="AI10" s="107"/>
      <c r="AJ10" s="107"/>
      <c r="AK10" s="107"/>
      <c r="AL10" s="107"/>
    </row>
    <row r="11" spans="1:42" s="60" customFormat="1" ht="45" customHeight="1" x14ac:dyDescent="0.35">
      <c r="A11" s="50"/>
      <c r="B11" s="51" t="s">
        <v>47</v>
      </c>
      <c r="C11" s="51" t="s">
        <v>6</v>
      </c>
      <c r="D11" s="52" t="s">
        <v>9</v>
      </c>
      <c r="E11" s="52" t="s">
        <v>51</v>
      </c>
      <c r="F11" s="53" t="s">
        <v>5</v>
      </c>
      <c r="G11" s="53" t="s">
        <v>7</v>
      </c>
      <c r="H11" s="53" t="s">
        <v>8</v>
      </c>
      <c r="I11" s="54" t="s">
        <v>10</v>
      </c>
      <c r="J11" s="54" t="s">
        <v>11</v>
      </c>
      <c r="K11" s="54" t="s">
        <v>95</v>
      </c>
      <c r="L11" s="55" t="s">
        <v>16</v>
      </c>
      <c r="M11" s="55" t="s">
        <v>72</v>
      </c>
      <c r="N11" s="55" t="s">
        <v>73</v>
      </c>
      <c r="O11" s="52" t="s">
        <v>54</v>
      </c>
      <c r="P11" s="52" t="s">
        <v>19</v>
      </c>
      <c r="Q11" s="52" t="s">
        <v>55</v>
      </c>
      <c r="R11" s="52" t="s">
        <v>64</v>
      </c>
      <c r="S11" s="51" t="s">
        <v>96</v>
      </c>
      <c r="T11" s="56" t="s">
        <v>56</v>
      </c>
      <c r="U11" s="114" t="s">
        <v>69</v>
      </c>
      <c r="V11" s="115"/>
      <c r="W11" s="57" t="s">
        <v>79</v>
      </c>
      <c r="X11" s="57" t="s">
        <v>80</v>
      </c>
      <c r="Y11" s="54" t="s">
        <v>76</v>
      </c>
      <c r="Z11" s="54" t="s">
        <v>77</v>
      </c>
      <c r="AA11" s="58" t="s">
        <v>65</v>
      </c>
      <c r="AB11" s="58" t="s">
        <v>97</v>
      </c>
      <c r="AC11" s="112" t="s">
        <v>66</v>
      </c>
      <c r="AD11" s="113"/>
      <c r="AE11" s="95"/>
      <c r="AF11" s="59" t="s">
        <v>67</v>
      </c>
      <c r="AG11" s="59" t="s">
        <v>98</v>
      </c>
      <c r="AH11" s="100" t="s">
        <v>99</v>
      </c>
      <c r="AI11" s="100" t="s">
        <v>102</v>
      </c>
      <c r="AJ11" s="100" t="s">
        <v>100</v>
      </c>
      <c r="AK11" s="100" t="s">
        <v>101</v>
      </c>
      <c r="AL11" s="52" t="s">
        <v>89</v>
      </c>
    </row>
    <row r="12" spans="1:42" s="79" customFormat="1" ht="25" customHeight="1" x14ac:dyDescent="0.35">
      <c r="A12" s="61"/>
      <c r="B12" s="62" t="s">
        <v>21</v>
      </c>
      <c r="C12" s="63" t="s">
        <v>0</v>
      </c>
      <c r="D12" s="64">
        <v>12</v>
      </c>
      <c r="E12" s="63" t="s">
        <v>48</v>
      </c>
      <c r="F12" s="63" t="s">
        <v>52</v>
      </c>
      <c r="G12" s="63">
        <v>3</v>
      </c>
      <c r="H12" s="63">
        <f>500*0.735</f>
        <v>367.5</v>
      </c>
      <c r="I12" s="65">
        <v>8443383.3049999997</v>
      </c>
      <c r="J12" s="63" t="s">
        <v>91</v>
      </c>
      <c r="K12" s="64">
        <v>5</v>
      </c>
      <c r="L12" s="66">
        <v>132.5</v>
      </c>
      <c r="M12" s="63" t="s">
        <v>92</v>
      </c>
      <c r="N12" s="66">
        <v>2.5</v>
      </c>
      <c r="O12" s="65">
        <v>4659154</v>
      </c>
      <c r="P12" s="63" t="s">
        <v>93</v>
      </c>
      <c r="Q12" s="63">
        <v>5</v>
      </c>
      <c r="R12" s="67">
        <v>0.29199999999999998</v>
      </c>
      <c r="S12" s="125">
        <f t="shared" ref="S12:S37" si="0">IF(OR(I12="",L12=""),"",I12*L12/100)</f>
        <v>11187482.879124999</v>
      </c>
      <c r="T12" s="126">
        <f t="shared" ref="T12:T37" si="1">IF(OR(O12="",S12=""),"",O12/S12)</f>
        <v>0.41646133007216757</v>
      </c>
      <c r="U12" s="127">
        <f t="shared" ref="U12" si="2">IF(T12="","",0.2725/T12*100)</f>
        <v>65.43224552271856</v>
      </c>
      <c r="V12" s="128">
        <f>IF(U12="","",ROUNDUP(SQRT((0.2725*L12/O12*K12/100*I12)^2+(0.2725*I12/O12*N12/100*L12)^2+(0.2725*L12*I12/O12/O12*Q12/100*O12)^2),0))</f>
        <v>5</v>
      </c>
      <c r="W12" s="72" t="str">
        <f ca="1">IF(U12="","",OFFSET('Rendimento esperado'!$B$11,MATCH('Cálculo de EE'!U12,OFFSET('Rendimento esperado'!$B$11,1,MATCH('Cálculo de EE'!H12,IF(F12="externo",'Rendimento esperado'!$C$11:$F$11,'Rendimento esperado'!$G$11:$J$11),1),7,1),1),0))</f>
        <v>Desempenho mediano</v>
      </c>
      <c r="X12" s="72" t="str">
        <f ca="1">IF(U12="","",OFFSET('Rendimento esperado'!$B$11,MATCH('Cálculo de EE'!U12,OFFSET('Rendimento esperado'!$B$11,1,MATCH('Cálculo de EE'!H12,IF(F12="externo",'Rendimento esperado'!$C$11:$F$11,'Rendimento esperado'!$G$11:$J$11),1),7,1),1),9))</f>
        <v>Agendar manutenção</v>
      </c>
      <c r="Y12" s="65">
        <v>120000</v>
      </c>
      <c r="Z12" s="65">
        <v>66</v>
      </c>
      <c r="AA12" s="129">
        <f ca="1">IF(Z12="","",IF((T12-0.2725/IF(Z12="",OFFSET('Rendimento esperado'!$B$16,0,MATCH('Cálculo de EE'!H12,IF('Cálculo de EE'!F12="externo",'Rendimento esperado'!$C$11:$F$11,'Rendimento esperado'!$G$11:$J$11),1)),Z12)*100)*I12*L12/100/D12&gt;0,(T12-0.2725/IF(Z12="",OFFSET('Rendimento esperado'!$B$16,0,MATCH('Cálculo de EE'!H12,IF('Cálculo de EE'!F12="externo",'Rendimento esperado'!$C$11:$F$11,'Rendimento esperado'!$G$11:$J$11),1)),Z12)*100)*I12*L12/100/D12,""))</f>
        <v>3339.9691210147776</v>
      </c>
      <c r="AB12" s="130">
        <f ca="1">IF(AA12="","",1.37*AA12)</f>
        <v>4575.7576957902456</v>
      </c>
      <c r="AC12" s="131">
        <f t="shared" ref="AC12:AC37" ca="1" si="3">IF(OR(R12="",AA12=""),"",R12*AA12)</f>
        <v>975.270983336315</v>
      </c>
      <c r="AD12" s="132">
        <f t="shared" ref="AD12:AD37" ca="1" si="4">IF(AC12="","",FLOOR(100*0.2725/V12/U12*AC12,10))</f>
        <v>80</v>
      </c>
      <c r="AE12" s="96"/>
      <c r="AF12" s="133">
        <f ca="1">IF(OR(Y12="",AC12=""),"",(Y12/AC12))</f>
        <v>123.04272561200447</v>
      </c>
      <c r="AG12" s="133">
        <f t="shared" ref="AG12:AG14" ca="1" si="5">IF(OR(Y12="",AC12=""),"",(Y12/(AC12+AD12)))</f>
        <v>113.71486745576134</v>
      </c>
      <c r="AH12" s="133">
        <f t="shared" ref="AH12:AH13" ca="1" si="6">IF(OR(Y12="",AC12=""),"",(Y12/(AC12-AD12)))</f>
        <v>134.03762909058915</v>
      </c>
      <c r="AI12" s="134">
        <f t="shared" ref="AI12" ca="1" si="7">IF(OR(Y12="",AC12=""),"",((((AG12-AF12)^2+(AH12-AF12)^2)/2)^0.5))</f>
        <v>10.195509803006052</v>
      </c>
      <c r="AJ12" s="135">
        <f t="shared" ref="AJ12:AJ17" ca="1" si="8">IF(OR(Y12="",AC12=""),"",(AI12/AF12))</f>
        <v>8.2861540593272942E-2</v>
      </c>
      <c r="AK12" s="138" t="str">
        <f ca="1">IF(AJ12&lt;0.2,"★★★",IF(AJ12&lt;0.4,"★★",IF(AJ12&lt;1,"★","-")))</f>
        <v>★★★</v>
      </c>
      <c r="AL12" s="137" t="str">
        <f ca="1">IF(AND(AF12="",AK12=""),"",IF(AK12="–","Informações insuficientes para orientar decisão",IF(AND(AF12="",AK12&lt;&gt;""),"Não é necessária intervenção",IF(AK12="★★★",IF(AF12&gt;36,"O retorno do investimento é lento","Realizar intervenção"),IF(AF12&gt;36,"O retorno do investimento é lento, porém uma análise mais detalhada é recomendável","A intervenção é vantajosa, porém uma análise mais detalhada é recomendável")))))</f>
        <v>O retorno do investimento é lento</v>
      </c>
      <c r="AP12" s="80"/>
    </row>
    <row r="13" spans="1:42" s="79" customFormat="1" ht="25" customHeight="1" x14ac:dyDescent="0.35">
      <c r="A13" s="61"/>
      <c r="B13" s="62" t="s">
        <v>22</v>
      </c>
      <c r="C13" s="63" t="s">
        <v>1</v>
      </c>
      <c r="D13" s="64">
        <v>12</v>
      </c>
      <c r="E13" s="63" t="s">
        <v>48</v>
      </c>
      <c r="F13" s="63" t="s">
        <v>52</v>
      </c>
      <c r="G13" s="63">
        <v>1</v>
      </c>
      <c r="H13" s="63">
        <f>50*0.735</f>
        <v>36.75</v>
      </c>
      <c r="I13" s="65">
        <v>344581.43699999998</v>
      </c>
      <c r="J13" s="63" t="s">
        <v>91</v>
      </c>
      <c r="K13" s="64">
        <v>5</v>
      </c>
      <c r="L13" s="66">
        <v>65.900000000000006</v>
      </c>
      <c r="M13" s="63" t="s">
        <v>17</v>
      </c>
      <c r="N13" s="66">
        <v>10</v>
      </c>
      <c r="O13" s="65">
        <v>213380</v>
      </c>
      <c r="P13" s="63" t="s">
        <v>94</v>
      </c>
      <c r="Q13" s="63">
        <v>10</v>
      </c>
      <c r="R13" s="67">
        <v>0.31</v>
      </c>
      <c r="S13" s="125">
        <f t="shared" si="0"/>
        <v>227079.166983</v>
      </c>
      <c r="T13" s="126">
        <f t="shared" si="1"/>
        <v>0.93967228625589605</v>
      </c>
      <c r="U13" s="127">
        <f t="shared" ref="U13:U37" si="9">IF(T13="","",0.2725/T13*100)</f>
        <v>28.999471835630096</v>
      </c>
      <c r="V13" s="128">
        <f t="shared" ref="V13:V37" si="10">IF(U13="","",ROUNDUP(SQRT((0.2725*L13/O13*K13/100*I13)^2+(0.2725*I13/O13*N13/100*L13)^2+(0.2725*L13*I13/O13/O13*Q13/100*O13)^2),0))</f>
        <v>5</v>
      </c>
      <c r="W13" s="72" t="str">
        <f ca="1">IF(U13="","",OFFSET('Rendimento esperado'!$B$11,MATCH('Cálculo de EE'!U13,OFFSET('Rendimento esperado'!$B$11,1,MATCH('Cálculo de EE'!H13,IF(F13="externo",'Rendimento esperado'!$C$11:$F$11,'Rendimento esperado'!$G$11:$J$11),1),7,1),1),0))</f>
        <v>Desempenho insuficiente</v>
      </c>
      <c r="X13" s="72" t="str">
        <f ca="1">IF(U13="","",OFFSET('Rendimento esperado'!$B$11,MATCH('Cálculo de EE'!U13,OFFSET('Rendimento esperado'!$B$11,1,MATCH('Cálculo de EE'!H13,IF(F13="externo",'Rendimento esperado'!$C$11:$F$11,'Rendimento esperado'!$G$11:$J$11),1),7,1),1),9))</f>
        <v>Realizar manutenção</v>
      </c>
      <c r="Y13" s="65">
        <v>15000</v>
      </c>
      <c r="Z13" s="65">
        <f ca="1">IF(OR(F13="",H13=""),"",OFFSET('Rendimento esperado'!$B$16,0,MATCH('Cálculo de EE'!H13,IF('Cálculo de EE'!F13="externo",'Rendimento esperado'!$C$11:$F$11,'Rendimento esperado'!$G$11:$J$11),1)))</f>
        <v>68</v>
      </c>
      <c r="AA13" s="129">
        <f ca="1">IF(Z13="","",IF((T13-0.2725/IF(Z13="",OFFSET('Rendimento esperado'!$B$16,0,MATCH('Cálculo de EE'!H13,IF('Cálculo de EE'!F13="externo",'Rendimento esperado'!$C$11:$F$11,'Rendimento esperado'!$G$11:$J$11),1)),Z13)*100)*I13*L13/100/D13&gt;0,(T13-0.2725/IF(Z13="",OFFSET('Rendimento esperado'!$B$16,0,MATCH('Cálculo de EE'!H13,IF('Cálculo de EE'!F13="externo",'Rendimento esperado'!$C$11:$F$11,'Rendimento esperado'!$G$11:$J$11),1)),Z13)*100)*I13*L13/100/D13,""))</f>
        <v>10198.446935923099</v>
      </c>
      <c r="AB13" s="130">
        <f t="shared" ref="AB13:AB37" ca="1" si="11">IF(AA13="","",1.37*AA13)</f>
        <v>13971.872302214646</v>
      </c>
      <c r="AC13" s="131">
        <f t="shared" ca="1" si="3"/>
        <v>3161.5185501361607</v>
      </c>
      <c r="AD13" s="132">
        <f t="shared" ca="1" si="4"/>
        <v>590</v>
      </c>
      <c r="AE13" s="96"/>
      <c r="AF13" s="133">
        <f t="shared" ref="AF13:AF16" ca="1" si="12">IF(OR(Y13="",AC13=""),"",(Y13/AC13))</f>
        <v>4.7445554287049738</v>
      </c>
      <c r="AG13" s="133">
        <f t="shared" ca="1" si="5"/>
        <v>3.9983808688499161</v>
      </c>
      <c r="AH13" s="133">
        <f t="shared" ca="1" si="6"/>
        <v>5.8331292221110971</v>
      </c>
      <c r="AI13" s="134">
        <f ca="1">IF(OR(Y13="",AC13=""),"",((((AG13-AF13)^2+(AH13-AF13)^2)/2)^0.5))</f>
        <v>0.93321202774757628</v>
      </c>
      <c r="AJ13" s="135">
        <f t="shared" ca="1" si="8"/>
        <v>0.19669114246227626</v>
      </c>
      <c r="AK13" s="138" t="str">
        <f ca="1">IF(AJ13&lt;0.2,"★★★",IF(AJ13&lt;0.4,"★★",IF(AJ13&lt;1,"★","-")))</f>
        <v>★★★</v>
      </c>
      <c r="AL13" s="137" t="str">
        <f t="shared" ref="AL13:AL16" ca="1" si="13">IF(AND(AF13="",AK13=""),"",IF(AK13="–","Informações insuficientes para orientar decisão",IF(AND(AF13="",AK13&lt;&gt;""),"Não é necessária intervenção",IF(AK13="★★★",IF(AF13&gt;36,"O retorno do investimento é lento","Realizar intervenção"),IF(AF13&gt;36,"O retorno do investimento é lento, porém uma análise mais detalhada é recomendável","A intervenção é vantajosa, porém uma análise mais detalhada é recomendável")))))</f>
        <v>Realizar intervenção</v>
      </c>
      <c r="AP13" s="80"/>
    </row>
    <row r="14" spans="1:42" s="79" customFormat="1" ht="25" customHeight="1" x14ac:dyDescent="0.35">
      <c r="A14" s="61"/>
      <c r="B14" s="62" t="s">
        <v>39</v>
      </c>
      <c r="C14" s="63" t="s">
        <v>2</v>
      </c>
      <c r="D14" s="64">
        <v>12</v>
      </c>
      <c r="E14" s="63" t="s">
        <v>48</v>
      </c>
      <c r="F14" s="63" t="s">
        <v>52</v>
      </c>
      <c r="G14" s="63">
        <v>2</v>
      </c>
      <c r="H14" s="63">
        <f>200*0.735</f>
        <v>147</v>
      </c>
      <c r="I14" s="65">
        <v>3564063.4190000002</v>
      </c>
      <c r="J14" s="63" t="s">
        <v>12</v>
      </c>
      <c r="K14" s="64">
        <v>15</v>
      </c>
      <c r="L14" s="66">
        <v>11.1</v>
      </c>
      <c r="M14" s="63" t="s">
        <v>18</v>
      </c>
      <c r="N14" s="66">
        <v>5</v>
      </c>
      <c r="O14" s="65">
        <v>141258</v>
      </c>
      <c r="P14" s="63" t="s">
        <v>94</v>
      </c>
      <c r="Q14" s="63">
        <v>8</v>
      </c>
      <c r="R14" s="67">
        <v>0.29199999999999998</v>
      </c>
      <c r="S14" s="125">
        <f t="shared" si="0"/>
        <v>395611.03950900002</v>
      </c>
      <c r="T14" s="126">
        <f t="shared" si="1"/>
        <v>0.35706283670778716</v>
      </c>
      <c r="U14" s="127">
        <f t="shared" si="9"/>
        <v>76.317099396991679</v>
      </c>
      <c r="V14" s="128">
        <f t="shared" si="10"/>
        <v>14</v>
      </c>
      <c r="W14" s="72" t="str">
        <f ca="1">IF(U14="","",OFFSET('Rendimento esperado'!$B$11,MATCH('Cálculo de EE'!U14,OFFSET('Rendimento esperado'!$B$11,1,MATCH('Cálculo de EE'!H14,IF(F14="externo",'Rendimento esperado'!$C$11:$F$11,'Rendimento esperado'!$G$11:$J$11),1),7,1),1),0))</f>
        <v>Bom desempenho</v>
      </c>
      <c r="X14" s="72" t="str">
        <f ca="1">IF(U14="","",OFFSET('Rendimento esperado'!$B$11,MATCH('Cálculo de EE'!U14,OFFSET('Rendimento esperado'!$B$11,1,MATCH('Cálculo de EE'!H14,IF(F14="externo",'Rendimento esperado'!$C$11:$F$11,'Rendimento esperado'!$G$11:$J$11),1),7,1),1),9))</f>
        <v>OK</v>
      </c>
      <c r="Y14" s="65">
        <v>40000</v>
      </c>
      <c r="Z14" s="65">
        <f ca="1">IF(OR(F14="",H14=""),"",OFFSET('Rendimento esperado'!$B$16,0,MATCH('Cálculo de EE'!H14,IF('Cálculo de EE'!F14="externo",'Rendimento esperado'!$C$11:$F$11,'Rendimento esperado'!$G$11:$J$11),1)))</f>
        <v>72.000000000000014</v>
      </c>
      <c r="AA14" s="129" t="str">
        <f ca="1">IF(Z14="","",IF((T14-0.2725/IF(Z14="",OFFSET('Rendimento esperado'!$B$16,0,MATCH('Cálculo de EE'!H14,IF('Cálculo de EE'!F14="externo",'Rendimento esperado'!$C$11:$F$11,'Rendimento esperado'!$G$11:$J$11),1)),Z14)*100)*I14*L14/100/D14&gt;0,(T14-0.2725/IF(Z14="",OFFSET('Rendimento esperado'!$B$16,0,MATCH('Cálculo de EE'!H14,IF('Cálculo de EE'!F14="externo",'Rendimento esperado'!$C$11:$F$11,'Rendimento esperado'!$G$11:$J$11),1)),Z14)*100)*I14*L14/100/D14,""))</f>
        <v/>
      </c>
      <c r="AB14" s="130" t="str">
        <f t="shared" ca="1" si="11"/>
        <v/>
      </c>
      <c r="AC14" s="131" t="str">
        <f t="shared" ca="1" si="3"/>
        <v/>
      </c>
      <c r="AD14" s="132" t="str">
        <f t="shared" ca="1" si="4"/>
        <v/>
      </c>
      <c r="AE14" s="96"/>
      <c r="AF14" s="133" t="str">
        <f t="shared" ca="1" si="12"/>
        <v/>
      </c>
      <c r="AG14" s="133" t="str">
        <f t="shared" ca="1" si="5"/>
        <v/>
      </c>
      <c r="AH14" s="133" t="str">
        <f ca="1">IF(OR(Y14="",AC14=""),"",(Y14/(AC14-AD14)))</f>
        <v/>
      </c>
      <c r="AI14" s="134" t="str">
        <f ca="1">IF(OR(Y14="",AC14=""),"",((((AG14-AF14)^2+(AH14-AF14)^2)/2)^0.5))</f>
        <v/>
      </c>
      <c r="AJ14" s="135" t="str">
        <f ca="1">IF(OR(Y14="",AC14=""),"",(AI14/AF14))</f>
        <v/>
      </c>
      <c r="AK14" s="138" t="str">
        <f ca="1">IF(AJ14&lt;0.2,"★★★",IF(AJ14&lt;0.4,"★★",IF(AJ14&lt;1,"★","-")))</f>
        <v>-</v>
      </c>
      <c r="AL14" s="137" t="str">
        <f t="shared" ca="1" si="13"/>
        <v>Não é necessária intervenção</v>
      </c>
      <c r="AP14" s="80"/>
    </row>
    <row r="15" spans="1:42" s="79" customFormat="1" ht="25" customHeight="1" x14ac:dyDescent="0.35">
      <c r="A15" s="61"/>
      <c r="B15" s="62" t="s">
        <v>40</v>
      </c>
      <c r="C15" s="63" t="s">
        <v>4</v>
      </c>
      <c r="D15" s="64">
        <v>6</v>
      </c>
      <c r="E15" s="63" t="s">
        <v>49</v>
      </c>
      <c r="F15" s="63" t="s">
        <v>53</v>
      </c>
      <c r="G15" s="63">
        <v>2</v>
      </c>
      <c r="H15" s="63">
        <f>100*0.735</f>
        <v>73.5</v>
      </c>
      <c r="I15" s="65">
        <v>800000</v>
      </c>
      <c r="J15" s="63" t="s">
        <v>12</v>
      </c>
      <c r="K15" s="64">
        <v>30</v>
      </c>
      <c r="L15" s="66">
        <v>5.2</v>
      </c>
      <c r="M15" s="63" t="s">
        <v>18</v>
      </c>
      <c r="N15" s="66">
        <v>5</v>
      </c>
      <c r="O15" s="65">
        <v>52018</v>
      </c>
      <c r="P15" s="63" t="s">
        <v>93</v>
      </c>
      <c r="Q15" s="63">
        <v>2</v>
      </c>
      <c r="R15" s="67">
        <v>0.29199999999999998</v>
      </c>
      <c r="S15" s="125">
        <f t="shared" si="0"/>
        <v>41600</v>
      </c>
      <c r="T15" s="126">
        <f t="shared" si="1"/>
        <v>1.2504326923076923</v>
      </c>
      <c r="U15" s="127">
        <f t="shared" si="9"/>
        <v>21.79245645738014</v>
      </c>
      <c r="V15" s="128">
        <f t="shared" si="10"/>
        <v>7</v>
      </c>
      <c r="W15" s="72" t="str">
        <f ca="1">IF(U15="","",OFFSET('Rendimento esperado'!$B$11,MATCH('Cálculo de EE'!U15,OFFSET('Rendimento esperado'!$B$11,1,MATCH('Cálculo de EE'!H15,IF(F15="externo",'Rendimento esperado'!$C$11:$F$11,'Rendimento esperado'!$G$11:$J$11),1),7,1),1),0))</f>
        <v>Desempenho insuficiente e baixa confiabilidade</v>
      </c>
      <c r="X15" s="72" t="str">
        <f ca="1">IF(U15="","",OFFSET('Rendimento esperado'!$B$11,MATCH('Cálculo de EE'!U15,OFFSET('Rendimento esperado'!$B$11,1,MATCH('Cálculo de EE'!H15,IF(F15="externo",'Rendimento esperado'!$C$11:$F$11,'Rendimento esperado'!$G$11:$J$11),1),7,1),1),9))</f>
        <v>Provável necessidade de manutenção, mas antes rever coleta de dados</v>
      </c>
      <c r="Y15" s="65">
        <f>$Y$12*H15/$H$12</f>
        <v>24000</v>
      </c>
      <c r="Z15" s="65">
        <v>80</v>
      </c>
      <c r="AA15" s="129">
        <f ca="1">IF(Z15="","",IF((T15-0.2725/IF(Z15="",OFFSET('Rendimento esperado'!$B$16,0,MATCH('Cálculo de EE'!H15,IF('Cálculo de EE'!F15="externo",'Rendimento esperado'!$C$11:$F$11,'Rendimento esperado'!$G$11:$J$11),1)),Z15)*100)*I15*L15/100/D15&gt;0,(T15-0.2725/IF(Z15="",OFFSET('Rendimento esperado'!$B$16,0,MATCH('Cálculo de EE'!H15,IF('Cálculo de EE'!F15="externo",'Rendimento esperado'!$C$11:$F$11,'Rendimento esperado'!$G$11:$J$11),1)),Z15)*100)*I15*L15/100/D15,""))</f>
        <v>6307.9999999999991</v>
      </c>
      <c r="AB15" s="130">
        <f t="shared" ca="1" si="11"/>
        <v>8641.9599999999991</v>
      </c>
      <c r="AC15" s="131">
        <f t="shared" ca="1" si="3"/>
        <v>1841.9359999999997</v>
      </c>
      <c r="AD15" s="132">
        <f t="shared" ca="1" si="4"/>
        <v>320</v>
      </c>
      <c r="AE15" s="96"/>
      <c r="AF15" s="133">
        <f t="shared" ca="1" si="12"/>
        <v>13.029768678173403</v>
      </c>
      <c r="AG15" s="136">
        <f ca="1">IF(OR(Y15="",AC15=""),"",(Y15/(AC15+AD15)))</f>
        <v>11.101161181459583</v>
      </c>
      <c r="AH15" s="136">
        <f ca="1">IF(OR(Y15="",AC15=""),"",(Y15/(AC15-AD15)))</f>
        <v>15.769388463115403</v>
      </c>
      <c r="AI15" s="134">
        <f t="shared" ref="AI15:AI16" ca="1" si="14">IF(OR(Y15="",AC15=""),"",((((AG15-AF15)^2+(AH15-AF15)^2)/2)^0.5))</f>
        <v>2.3690761324223413</v>
      </c>
      <c r="AJ15" s="135">
        <f t="shared" ca="1" si="8"/>
        <v>0.18182027562706154</v>
      </c>
      <c r="AK15" s="138" t="str">
        <f ca="1">IF(AJ15&lt;0.2,"★★★",IF(AJ15&lt;0.4,"★★",IF(AJ15&lt;1,"★","-")))</f>
        <v>★★★</v>
      </c>
      <c r="AL15" s="137" t="str">
        <f t="shared" ca="1" si="13"/>
        <v>Realizar intervenção</v>
      </c>
      <c r="AP15" s="80"/>
    </row>
    <row r="16" spans="1:42" s="79" customFormat="1" ht="25" customHeight="1" x14ac:dyDescent="0.35">
      <c r="A16" s="61"/>
      <c r="B16" s="62" t="s">
        <v>23</v>
      </c>
      <c r="C16" s="63" t="s">
        <v>3</v>
      </c>
      <c r="D16" s="64">
        <v>12</v>
      </c>
      <c r="E16" s="63" t="s">
        <v>48</v>
      </c>
      <c r="F16" s="63" t="s">
        <v>52</v>
      </c>
      <c r="G16" s="63">
        <v>1</v>
      </c>
      <c r="H16" s="63">
        <f>20*0.735</f>
        <v>14.7</v>
      </c>
      <c r="I16" s="65">
        <v>156000</v>
      </c>
      <c r="J16" s="63" t="s">
        <v>12</v>
      </c>
      <c r="K16" s="64">
        <v>20</v>
      </c>
      <c r="L16" s="66">
        <v>29</v>
      </c>
      <c r="M16" s="63" t="s">
        <v>12</v>
      </c>
      <c r="N16" s="66">
        <v>30</v>
      </c>
      <c r="O16" s="65">
        <v>150000</v>
      </c>
      <c r="P16" s="63" t="s">
        <v>12</v>
      </c>
      <c r="Q16" s="63">
        <v>20</v>
      </c>
      <c r="R16" s="67">
        <v>0.30199999999999999</v>
      </c>
      <c r="S16" s="125">
        <f t="shared" si="0"/>
        <v>45240</v>
      </c>
      <c r="T16" s="126">
        <f t="shared" si="1"/>
        <v>3.3156498673740051</v>
      </c>
      <c r="U16" s="127">
        <f t="shared" si="9"/>
        <v>8.2186000000000003</v>
      </c>
      <c r="V16" s="128">
        <f t="shared" si="10"/>
        <v>4</v>
      </c>
      <c r="W16" s="72" t="str">
        <f ca="1">IF(U16="","",OFFSET('Rendimento esperado'!$B$11,MATCH('Cálculo de EE'!U16,OFFSET('Rendimento esperado'!$B$11,1,MATCH('Cálculo de EE'!H16,IF(F16="externo",'Rendimento esperado'!$C$11:$F$11,'Rendimento esperado'!$G$11:$J$11),1),7,1),1),0))</f>
        <v>Valor sem credibilidade</v>
      </c>
      <c r="X16" s="72" t="str">
        <f ca="1">IF(U16="","",OFFSET('Rendimento esperado'!$B$11,MATCH('Cálculo de EE'!U16,OFFSET('Rendimento esperado'!$B$11,1,MATCH('Cálculo de EE'!H16,IF(F16="externo",'Rendimento esperado'!$C$11:$F$11,'Rendimento esperado'!$G$11:$J$11),1),7,1),1),9))</f>
        <v>Refazer coleta de dados</v>
      </c>
      <c r="Y16" s="65">
        <v>7500</v>
      </c>
      <c r="Z16" s="65">
        <f ca="1">IF(OR(F16="",H16=""),"",OFFSET('Rendimento esperado'!$B$16,0,MATCH('Cálculo de EE'!H16,IF('Cálculo de EE'!F16="externo",'Rendimento esperado'!$C$11:$F$11,'Rendimento esperado'!$G$11:$J$11),1)))</f>
        <v>64</v>
      </c>
      <c r="AA16" s="129">
        <f ca="1">IF(Z16="","",IF((T16-0.2725/IF(Z16="",OFFSET('Rendimento esperado'!$B$16,0,MATCH('Cálculo de EE'!H16,IF('Cálculo de EE'!F16="externo",'Rendimento esperado'!$C$11:$F$11,'Rendimento esperado'!$G$11:$J$11),1)),Z16)*100)*I16*L16/100/D16&gt;0,(T16-0.2725/IF(Z16="",OFFSET('Rendimento esperado'!$B$16,0,MATCH('Cálculo de EE'!H16,IF('Cálculo de EE'!F16="externo",'Rendimento esperado'!$C$11:$F$11,'Rendimento esperado'!$G$11:$J$11),1)),Z16)*100)*I16*L16/100/D16,""))</f>
        <v>10894.8046875</v>
      </c>
      <c r="AB16" s="130">
        <f t="shared" ca="1" si="11"/>
        <v>14925.882421875001</v>
      </c>
      <c r="AC16" s="131">
        <f t="shared" ca="1" si="3"/>
        <v>3290.2310156250001</v>
      </c>
      <c r="AD16" s="132">
        <f t="shared" ca="1" si="4"/>
        <v>2720</v>
      </c>
      <c r="AE16" s="96"/>
      <c r="AF16" s="133">
        <f t="shared" ca="1" si="12"/>
        <v>2.279475199274215</v>
      </c>
      <c r="AG16" s="133">
        <f ca="1">IF(OR(Y16="",AC16=""),"",(Y16/(AC16+AD16)))</f>
        <v>1.2478721667273682</v>
      </c>
      <c r="AH16" s="133">
        <f ca="1">IF(OR(Y16="",AC16=""),"",(Y16/(AC16-AD16)))</f>
        <v>13.152564126627954</v>
      </c>
      <c r="AI16" s="134">
        <f t="shared" ca="1" si="14"/>
        <v>7.7229614669148248</v>
      </c>
      <c r="AJ16" s="135">
        <f t="shared" ca="1" si="8"/>
        <v>3.3880436467893205</v>
      </c>
      <c r="AK16" s="138" t="str">
        <f ca="1">IF(AJ16&lt;0.2,"★★★",IF(AJ16&lt;0.4,"★★",IF(AJ16&lt;1,"★","-")))</f>
        <v>-</v>
      </c>
      <c r="AL16" s="137" t="str">
        <f t="shared" ca="1" si="13"/>
        <v>A intervenção é vantajosa, porém uma análise mais detalhada é recomendável</v>
      </c>
      <c r="AP16" s="80"/>
    </row>
    <row r="17" spans="1:42" s="79" customFormat="1" ht="25" customHeight="1" x14ac:dyDescent="0.35">
      <c r="A17" s="61"/>
      <c r="B17" s="62" t="s">
        <v>24</v>
      </c>
      <c r="C17" s="63"/>
      <c r="D17" s="64"/>
      <c r="E17" s="63"/>
      <c r="F17" s="63"/>
      <c r="G17" s="63"/>
      <c r="H17" s="63"/>
      <c r="I17" s="65"/>
      <c r="J17" s="63"/>
      <c r="K17" s="64"/>
      <c r="L17" s="66"/>
      <c r="M17" s="63"/>
      <c r="N17" s="64"/>
      <c r="O17" s="65"/>
      <c r="P17" s="63"/>
      <c r="Q17" s="63"/>
      <c r="R17" s="67"/>
      <c r="S17" s="68" t="str">
        <f t="shared" si="0"/>
        <v/>
      </c>
      <c r="T17" s="69" t="str">
        <f t="shared" si="1"/>
        <v/>
      </c>
      <c r="U17" s="70" t="str">
        <f t="shared" si="9"/>
        <v/>
      </c>
      <c r="V17" s="71" t="str">
        <f t="shared" si="10"/>
        <v/>
      </c>
      <c r="W17" s="72" t="str">
        <f ca="1">IF(U17="","",OFFSET('Rendimento esperado'!$B$11,MATCH('Cálculo de EE'!U17,OFFSET('Rendimento esperado'!$B$11,1,MATCH('Cálculo de EE'!H17,IF(F17="externo",'Rendimento esperado'!$C$11:$F$11,'Rendimento esperado'!$G$11:$J$11),1),7,1),1),0))</f>
        <v/>
      </c>
      <c r="X17" s="72" t="str">
        <f ca="1">IF(U17="","",OFFSET('Rendimento esperado'!$B$11,MATCH('Cálculo de EE'!U17,OFFSET('Rendimento esperado'!$B$11,1,MATCH('Cálculo de EE'!H17,IF(F17="externo",'Rendimento esperado'!$C$11:$F$11,'Rendimento esperado'!$G$11:$J$11),1),7,1),1),9))</f>
        <v/>
      </c>
      <c r="Y17" s="65"/>
      <c r="Z17" s="65" t="str">
        <f ca="1">IF(OR(F17="",H17=""),"",OFFSET('Rendimento esperado'!$B$16,0,MATCH('Cálculo de EE'!H17,IF('Cálculo de EE'!F17="externo",'Rendimento esperado'!$C$11:$F$11,'Rendimento esperado'!$G$11:$J$11),1)))</f>
        <v/>
      </c>
      <c r="AA17" s="73" t="str">
        <f ca="1">IF(Z17="","",IF((T17-0.2725/IF(Z17="",OFFSET('Rendimento esperado'!$B$16,0,MATCH('Cálculo de EE'!H17,IF('Cálculo de EE'!F17="externo",'Rendimento esperado'!$C$11:$F$11,'Rendimento esperado'!$G$11:$J$11),1)),Z17)*100)*I17*L17/100/D17&gt;0,(T17-0.2725/IF(Z17="",OFFSET('Rendimento esperado'!$B$16,0,MATCH('Cálculo de EE'!H17,IF('Cálculo de EE'!F17="externo",'Rendimento esperado'!$C$11:$F$11,'Rendimento esperado'!$G$11:$J$11),1)),Z17)*100)*I17*L17/100/D17,""))</f>
        <v/>
      </c>
      <c r="AB17" s="74" t="str">
        <f t="shared" ca="1" si="11"/>
        <v/>
      </c>
      <c r="AC17" s="75" t="str">
        <f t="shared" ca="1" si="3"/>
        <v/>
      </c>
      <c r="AD17" s="76" t="str">
        <f t="shared" ca="1" si="4"/>
        <v/>
      </c>
      <c r="AE17" s="96"/>
      <c r="AF17" s="77" t="str">
        <f t="shared" ref="AF17:AF37" ca="1" si="15">IF(OR(Y17="",AC17=""),"",ROUNDUP(Y17/AC17,0))</f>
        <v/>
      </c>
      <c r="AG17" s="77"/>
      <c r="AH17" s="77"/>
      <c r="AI17" s="77"/>
      <c r="AJ17" s="99" t="str">
        <f t="shared" ca="1" si="8"/>
        <v/>
      </c>
      <c r="AK17" s="77"/>
      <c r="AL17" s="78" t="e">
        <f ca="1">IF(AND(AF17="",#REF!=""),"",IF(#REF!="–","Informações insuficientes para orientar decisão",IF(AND(AF17="",#REF!&lt;&gt;""),"Não é necessária intervenção",IF(#REF!="★★★",IF(AF17&gt;36,"O retorno do investimento é lento","Realizar intervenção"),IF(AF17&gt;36,"O retorno do investimento é lento, porém uma análise mais detalhada é recomendável","A intervenção é vantajosa, porém uma análise mais detalhada é recomendável")))))</f>
        <v>#REF!</v>
      </c>
      <c r="AP17" s="80"/>
    </row>
    <row r="18" spans="1:42" s="79" customFormat="1" ht="25" customHeight="1" x14ac:dyDescent="0.35">
      <c r="A18" s="61"/>
      <c r="B18" s="62" t="s">
        <v>25</v>
      </c>
      <c r="C18" s="63"/>
      <c r="D18" s="64"/>
      <c r="E18" s="63"/>
      <c r="F18" s="63"/>
      <c r="G18" s="63"/>
      <c r="H18" s="63"/>
      <c r="I18" s="65"/>
      <c r="J18" s="63"/>
      <c r="K18" s="64"/>
      <c r="L18" s="66"/>
      <c r="M18" s="63"/>
      <c r="N18" s="64"/>
      <c r="O18" s="65"/>
      <c r="P18" s="63"/>
      <c r="Q18" s="63"/>
      <c r="R18" s="67"/>
      <c r="S18" s="68" t="str">
        <f t="shared" si="0"/>
        <v/>
      </c>
      <c r="T18" s="69" t="str">
        <f t="shared" si="1"/>
        <v/>
      </c>
      <c r="U18" s="70" t="str">
        <f t="shared" si="9"/>
        <v/>
      </c>
      <c r="V18" s="71" t="str">
        <f t="shared" si="10"/>
        <v/>
      </c>
      <c r="W18" s="72" t="str">
        <f ca="1">IF(U18="","",OFFSET('Rendimento esperado'!$B$11,MATCH('Cálculo de EE'!U18,OFFSET('Rendimento esperado'!$B$11,1,MATCH('Cálculo de EE'!H18,IF(F18="externo",'Rendimento esperado'!$C$11:$F$11,'Rendimento esperado'!$G$11:$J$11),1),7,1),1),0))</f>
        <v/>
      </c>
      <c r="X18" s="72" t="str">
        <f ca="1">IF(U18="","",OFFSET('Rendimento esperado'!$B$11,MATCH('Cálculo de EE'!U18,OFFSET('Rendimento esperado'!$B$11,1,MATCH('Cálculo de EE'!H18,IF(F18="externo",'Rendimento esperado'!$C$11:$F$11,'Rendimento esperado'!$G$11:$J$11),1),7,1),1),9))</f>
        <v/>
      </c>
      <c r="Y18" s="65"/>
      <c r="Z18" s="65" t="str">
        <f ca="1">IF(OR(F18="",H18=""),"",OFFSET('Rendimento esperado'!$B$16,0,MATCH('Cálculo de EE'!H18,IF('Cálculo de EE'!F18="externo",'Rendimento esperado'!$C$11:$F$11,'Rendimento esperado'!$G$11:$J$11),1)))</f>
        <v/>
      </c>
      <c r="AA18" s="73" t="str">
        <f ca="1">IF(Z18="","",IF((T18-0.2725/IF(Z18="",OFFSET('Rendimento esperado'!$B$16,0,MATCH('Cálculo de EE'!H18,IF('Cálculo de EE'!F18="externo",'Rendimento esperado'!$C$11:$F$11,'Rendimento esperado'!$G$11:$J$11),1)),Z18)*100)*I18*L18/100/D18&gt;0,(T18-0.2725/IF(Z18="",OFFSET('Rendimento esperado'!$B$16,0,MATCH('Cálculo de EE'!H18,IF('Cálculo de EE'!F18="externo",'Rendimento esperado'!$C$11:$F$11,'Rendimento esperado'!$G$11:$J$11),1)),Z18)*100)*I18*L18/100/D18,""))</f>
        <v/>
      </c>
      <c r="AB18" s="74" t="str">
        <f t="shared" ca="1" si="11"/>
        <v/>
      </c>
      <c r="AC18" s="75" t="str">
        <f t="shared" ca="1" si="3"/>
        <v/>
      </c>
      <c r="AD18" s="76" t="str">
        <f t="shared" ca="1" si="4"/>
        <v/>
      </c>
      <c r="AE18" s="96"/>
      <c r="AF18" s="77" t="str">
        <f t="shared" ca="1" si="15"/>
        <v/>
      </c>
      <c r="AG18" s="77"/>
      <c r="AH18" s="77"/>
      <c r="AI18" s="77"/>
      <c r="AJ18" s="77"/>
      <c r="AK18" s="77"/>
      <c r="AL18" s="78" t="e">
        <f ca="1">IF(AND(AF18="",#REF!=""),"",IF(#REF!="–","Informações insuficientes para orientar decisão",IF(AND(AF18="",#REF!&lt;&gt;""),"Não é necessária intervenção",IF(#REF!="★★★",IF(AF18&gt;36,"O retorno do investimento é lento","Realizar intervenção"),IF(AF18&gt;36,"O retorno do investimento é lento, porém uma análise mais detalhada é recomendável","A intervenção é vantajosa, porém uma análise mais detalhada é recomendável")))))</f>
        <v>#REF!</v>
      </c>
      <c r="AP18" s="80"/>
    </row>
    <row r="19" spans="1:42" s="79" customFormat="1" ht="25" customHeight="1" x14ac:dyDescent="0.35">
      <c r="A19" s="61"/>
      <c r="B19" s="62" t="s">
        <v>26</v>
      </c>
      <c r="C19" s="63"/>
      <c r="D19" s="64"/>
      <c r="E19" s="63"/>
      <c r="F19" s="63"/>
      <c r="G19" s="63"/>
      <c r="H19" s="63"/>
      <c r="I19" s="65"/>
      <c r="J19" s="63"/>
      <c r="K19" s="64"/>
      <c r="L19" s="66"/>
      <c r="M19" s="63"/>
      <c r="N19" s="64"/>
      <c r="O19" s="65"/>
      <c r="P19" s="63"/>
      <c r="Q19" s="63"/>
      <c r="R19" s="67"/>
      <c r="S19" s="68" t="str">
        <f t="shared" si="0"/>
        <v/>
      </c>
      <c r="T19" s="69" t="str">
        <f t="shared" si="1"/>
        <v/>
      </c>
      <c r="U19" s="70" t="str">
        <f t="shared" si="9"/>
        <v/>
      </c>
      <c r="V19" s="71" t="str">
        <f t="shared" si="10"/>
        <v/>
      </c>
      <c r="W19" s="72" t="str">
        <f ca="1">IF(U19="","",OFFSET('Rendimento esperado'!$B$11,MATCH('Cálculo de EE'!U19,OFFSET('Rendimento esperado'!$B$11,1,MATCH('Cálculo de EE'!H19,IF(F19="externo",'Rendimento esperado'!$C$11:$F$11,'Rendimento esperado'!$G$11:$J$11),1),7,1),1),0))</f>
        <v/>
      </c>
      <c r="X19" s="72" t="str">
        <f ca="1">IF(U19="","",OFFSET('Rendimento esperado'!$B$11,MATCH('Cálculo de EE'!U19,OFFSET('Rendimento esperado'!$B$11,1,MATCH('Cálculo de EE'!H19,IF(F19="externo",'Rendimento esperado'!$C$11:$F$11,'Rendimento esperado'!$G$11:$J$11),1),7,1),1),9))</f>
        <v/>
      </c>
      <c r="Y19" s="65"/>
      <c r="Z19" s="65" t="str">
        <f ca="1">IF(OR(F19="",H19=""),"",OFFSET('Rendimento esperado'!$B$16,0,MATCH('Cálculo de EE'!H19,IF('Cálculo de EE'!F19="externo",'Rendimento esperado'!$C$11:$F$11,'Rendimento esperado'!$G$11:$J$11),1)))</f>
        <v/>
      </c>
      <c r="AA19" s="73" t="str">
        <f ca="1">IF(Z19="","",IF((T19-0.2725/IF(Z19="",OFFSET('Rendimento esperado'!$B$16,0,MATCH('Cálculo de EE'!H19,IF('Cálculo de EE'!F19="externo",'Rendimento esperado'!$C$11:$F$11,'Rendimento esperado'!$G$11:$J$11),1)),Z19)*100)*I19*L19/100/D19&gt;0,(T19-0.2725/IF(Z19="",OFFSET('Rendimento esperado'!$B$16,0,MATCH('Cálculo de EE'!H19,IF('Cálculo de EE'!F19="externo",'Rendimento esperado'!$C$11:$F$11,'Rendimento esperado'!$G$11:$J$11),1)),Z19)*100)*I19*L19/100/D19,""))</f>
        <v/>
      </c>
      <c r="AB19" s="74" t="str">
        <f t="shared" ca="1" si="11"/>
        <v/>
      </c>
      <c r="AC19" s="75" t="str">
        <f t="shared" ca="1" si="3"/>
        <v/>
      </c>
      <c r="AD19" s="76" t="str">
        <f t="shared" ca="1" si="4"/>
        <v/>
      </c>
      <c r="AE19" s="96"/>
      <c r="AF19" s="77" t="str">
        <f t="shared" ca="1" si="15"/>
        <v/>
      </c>
      <c r="AG19" s="77"/>
      <c r="AH19" s="77"/>
      <c r="AI19" s="77"/>
      <c r="AJ19" s="77"/>
      <c r="AK19" s="77"/>
      <c r="AL19" s="78" t="e">
        <f ca="1">IF(AND(AF19="",#REF!=""),"",IF(#REF!="–","Informações insuficientes para orientar decisão",IF(AND(AF19="",#REF!&lt;&gt;""),"Não é necessária intervenção",IF(#REF!="★★★",IF(AF19&gt;36,"O retorno do investimento é lento","Realizar intervenção"),IF(AF19&gt;36,"O retorno do investimento é lento, porém uma análise mais detalhada é recomendável","A intervenção é vantajosa, porém uma análise mais detalhada é recomendável")))))</f>
        <v>#REF!</v>
      </c>
    </row>
    <row r="20" spans="1:42" s="79" customFormat="1" ht="25" customHeight="1" x14ac:dyDescent="0.35">
      <c r="A20" s="61"/>
      <c r="B20" s="62" t="s">
        <v>27</v>
      </c>
      <c r="C20" s="63"/>
      <c r="D20" s="64"/>
      <c r="E20" s="63"/>
      <c r="F20" s="63"/>
      <c r="G20" s="63"/>
      <c r="H20" s="63"/>
      <c r="I20" s="65"/>
      <c r="J20" s="63"/>
      <c r="K20" s="64"/>
      <c r="L20" s="66"/>
      <c r="M20" s="63"/>
      <c r="N20" s="64"/>
      <c r="O20" s="65"/>
      <c r="P20" s="63"/>
      <c r="Q20" s="63"/>
      <c r="R20" s="67"/>
      <c r="S20" s="68" t="str">
        <f t="shared" si="0"/>
        <v/>
      </c>
      <c r="T20" s="69" t="str">
        <f t="shared" si="1"/>
        <v/>
      </c>
      <c r="U20" s="70" t="str">
        <f t="shared" si="9"/>
        <v/>
      </c>
      <c r="V20" s="71" t="str">
        <f t="shared" si="10"/>
        <v/>
      </c>
      <c r="W20" s="72" t="str">
        <f ca="1">IF(U20="","",OFFSET('Rendimento esperado'!$B$11,MATCH('Cálculo de EE'!U20,OFFSET('Rendimento esperado'!$B$11,1,MATCH('Cálculo de EE'!H20,IF(F20="externo",'Rendimento esperado'!$C$11:$F$11,'Rendimento esperado'!$G$11:$J$11),1),7,1),1),0))</f>
        <v/>
      </c>
      <c r="X20" s="72" t="str">
        <f ca="1">IF(U20="","",OFFSET('Rendimento esperado'!$B$11,MATCH('Cálculo de EE'!U20,OFFSET('Rendimento esperado'!$B$11,1,MATCH('Cálculo de EE'!H20,IF(F20="externo",'Rendimento esperado'!$C$11:$F$11,'Rendimento esperado'!$G$11:$J$11),1),7,1),1),9))</f>
        <v/>
      </c>
      <c r="Y20" s="65"/>
      <c r="Z20" s="65" t="str">
        <f ca="1">IF(OR(F20="",H20=""),"",OFFSET('Rendimento esperado'!$B$16,0,MATCH('Cálculo de EE'!H20,IF('Cálculo de EE'!F20="externo",'Rendimento esperado'!$C$11:$F$11,'Rendimento esperado'!$G$11:$J$11),1)))</f>
        <v/>
      </c>
      <c r="AA20" s="73" t="str">
        <f ca="1">IF(Z20="","",IF((T20-0.2725/IF(Z20="",OFFSET('Rendimento esperado'!$B$16,0,MATCH('Cálculo de EE'!H20,IF('Cálculo de EE'!F20="externo",'Rendimento esperado'!$C$11:$F$11,'Rendimento esperado'!$G$11:$J$11),1)),Z20)*100)*I20*L20/100/D20&gt;0,(T20-0.2725/IF(Z20="",OFFSET('Rendimento esperado'!$B$16,0,MATCH('Cálculo de EE'!H20,IF('Cálculo de EE'!F20="externo",'Rendimento esperado'!$C$11:$F$11,'Rendimento esperado'!$G$11:$J$11),1)),Z20)*100)*I20*L20/100/D20,""))</f>
        <v/>
      </c>
      <c r="AB20" s="74" t="str">
        <f t="shared" ca="1" si="11"/>
        <v/>
      </c>
      <c r="AC20" s="75" t="str">
        <f t="shared" ca="1" si="3"/>
        <v/>
      </c>
      <c r="AD20" s="76" t="str">
        <f t="shared" ca="1" si="4"/>
        <v/>
      </c>
      <c r="AE20" s="96"/>
      <c r="AF20" s="77" t="str">
        <f t="shared" ca="1" si="15"/>
        <v/>
      </c>
      <c r="AG20" s="77"/>
      <c r="AH20" s="77"/>
      <c r="AI20" s="77"/>
      <c r="AJ20" s="77"/>
      <c r="AK20" s="77"/>
      <c r="AL20" s="78" t="e">
        <f ca="1">IF(AND(AF20="",#REF!=""),"",IF(#REF!="–","Informações insuficientes para orientar decisão",IF(AND(AF20="",#REF!&lt;&gt;""),"Não é necessária intervenção",IF(#REF!="★★★",IF(AF20&gt;36,"O retorno do investimento é lento","Realizar intervenção"),IF(AF20&gt;36,"O retorno do investimento é lento, porém uma análise mais detalhada é recomendável","A intervenção é vantajosa, porém uma análise mais detalhada é recomendável")))))</f>
        <v>#REF!</v>
      </c>
    </row>
    <row r="21" spans="1:42" s="79" customFormat="1" ht="25" customHeight="1" x14ac:dyDescent="0.35">
      <c r="A21" s="61"/>
      <c r="B21" s="62" t="s">
        <v>28</v>
      </c>
      <c r="C21" s="63"/>
      <c r="D21" s="64"/>
      <c r="E21" s="63"/>
      <c r="F21" s="63"/>
      <c r="G21" s="63"/>
      <c r="H21" s="63"/>
      <c r="I21" s="65"/>
      <c r="J21" s="63"/>
      <c r="K21" s="64"/>
      <c r="L21" s="66"/>
      <c r="M21" s="63"/>
      <c r="N21" s="81"/>
      <c r="O21" s="65"/>
      <c r="P21" s="63"/>
      <c r="Q21" s="81"/>
      <c r="R21" s="67"/>
      <c r="S21" s="68" t="str">
        <f t="shared" si="0"/>
        <v/>
      </c>
      <c r="T21" s="69" t="str">
        <f t="shared" si="1"/>
        <v/>
      </c>
      <c r="U21" s="70" t="str">
        <f t="shared" si="9"/>
        <v/>
      </c>
      <c r="V21" s="71" t="str">
        <f t="shared" si="10"/>
        <v/>
      </c>
      <c r="W21" s="72" t="str">
        <f ca="1">IF(U21="","",OFFSET('Rendimento esperado'!$B$11,MATCH('Cálculo de EE'!U21,OFFSET('Rendimento esperado'!$B$11,1,MATCH('Cálculo de EE'!H21,IF(F21="externo",'Rendimento esperado'!$C$11:$F$11,'Rendimento esperado'!$G$11:$J$11),1),7,1),1),0))</f>
        <v/>
      </c>
      <c r="X21" s="72" t="str">
        <f ca="1">IF(U21="","",OFFSET('Rendimento esperado'!$B$11,MATCH('Cálculo de EE'!U21,OFFSET('Rendimento esperado'!$B$11,1,MATCH('Cálculo de EE'!H21,IF(F21="externo",'Rendimento esperado'!$C$11:$F$11,'Rendimento esperado'!$G$11:$J$11),1),7,1),1),9))</f>
        <v/>
      </c>
      <c r="Y21" s="65"/>
      <c r="Z21" s="65" t="str">
        <f ca="1">IF(OR(F21="",H21=""),"",OFFSET('Rendimento esperado'!$B$16,0,MATCH('Cálculo de EE'!H21,IF('Cálculo de EE'!F21="externo",'Rendimento esperado'!$C$11:$F$11,'Rendimento esperado'!$G$11:$J$11),1)))</f>
        <v/>
      </c>
      <c r="AA21" s="73" t="str">
        <f ca="1">IF(Z21="","",IF((T21-0.2725/IF(Z21="",OFFSET('Rendimento esperado'!$B$16,0,MATCH('Cálculo de EE'!H21,IF('Cálculo de EE'!F21="externo",'Rendimento esperado'!$C$11:$F$11,'Rendimento esperado'!$G$11:$J$11),1)),Z21)*100)*I21*L21/100/D21&gt;0,(T21-0.2725/IF(Z21="",OFFSET('Rendimento esperado'!$B$16,0,MATCH('Cálculo de EE'!H21,IF('Cálculo de EE'!F21="externo",'Rendimento esperado'!$C$11:$F$11,'Rendimento esperado'!$G$11:$J$11),1)),Z21)*100)*I21*L21/100/D21,""))</f>
        <v/>
      </c>
      <c r="AB21" s="74" t="str">
        <f t="shared" ca="1" si="11"/>
        <v/>
      </c>
      <c r="AC21" s="75" t="str">
        <f t="shared" ca="1" si="3"/>
        <v/>
      </c>
      <c r="AD21" s="76" t="str">
        <f t="shared" ca="1" si="4"/>
        <v/>
      </c>
      <c r="AE21" s="96"/>
      <c r="AF21" s="77" t="str">
        <f t="shared" ca="1" si="15"/>
        <v/>
      </c>
      <c r="AG21" s="77"/>
      <c r="AH21" s="77"/>
      <c r="AI21" s="77"/>
      <c r="AJ21" s="77"/>
      <c r="AK21" s="77"/>
      <c r="AL21" s="78" t="e">
        <f ca="1">IF(AND(AF21="",#REF!=""),"",IF(#REF!="–","Informações insuficientes para orientar decisão",IF(AND(AF21="",#REF!&lt;&gt;""),"Não é necessária intervenção",IF(#REF!="★★★",IF(AF21&gt;36,"O retorno do investimento é lento","Realizar intervenção"),IF(AF21&gt;36,"O retorno do investimento é lento, porém uma análise mais detalhada é recomendável","A intervenção é vantajosa, porém uma análise mais detalhada é recomendável")))))</f>
        <v>#REF!</v>
      </c>
    </row>
    <row r="22" spans="1:42" s="79" customFormat="1" ht="25" customHeight="1" x14ac:dyDescent="0.35">
      <c r="A22" s="61"/>
      <c r="B22" s="62" t="s">
        <v>29</v>
      </c>
      <c r="C22" s="63"/>
      <c r="D22" s="64"/>
      <c r="E22" s="63"/>
      <c r="F22" s="63"/>
      <c r="G22" s="63"/>
      <c r="H22" s="63"/>
      <c r="I22" s="65"/>
      <c r="J22" s="63"/>
      <c r="K22" s="64"/>
      <c r="L22" s="66"/>
      <c r="M22" s="63"/>
      <c r="N22" s="64"/>
      <c r="O22" s="65"/>
      <c r="P22" s="63"/>
      <c r="Q22" s="63"/>
      <c r="R22" s="67"/>
      <c r="S22" s="68" t="str">
        <f t="shared" si="0"/>
        <v/>
      </c>
      <c r="T22" s="69" t="str">
        <f t="shared" si="1"/>
        <v/>
      </c>
      <c r="U22" s="70" t="str">
        <f t="shared" si="9"/>
        <v/>
      </c>
      <c r="V22" s="71" t="str">
        <f t="shared" si="10"/>
        <v/>
      </c>
      <c r="W22" s="72" t="str">
        <f ca="1">IF(U22="","",OFFSET('Rendimento esperado'!$B$11,MATCH('Cálculo de EE'!U22,OFFSET('Rendimento esperado'!$B$11,1,MATCH('Cálculo de EE'!H22,IF(F22="externo",'Rendimento esperado'!$C$11:$F$11,'Rendimento esperado'!$G$11:$J$11),1),7,1),1),0))</f>
        <v/>
      </c>
      <c r="X22" s="72" t="str">
        <f ca="1">IF(U22="","",OFFSET('Rendimento esperado'!$B$11,MATCH('Cálculo de EE'!U22,OFFSET('Rendimento esperado'!$B$11,1,MATCH('Cálculo de EE'!H22,IF(F22="externo",'Rendimento esperado'!$C$11:$F$11,'Rendimento esperado'!$G$11:$J$11),1),7,1),1),9))</f>
        <v/>
      </c>
      <c r="Y22" s="65"/>
      <c r="Z22" s="65" t="str">
        <f ca="1">IF(OR(F22="",H22=""),"",OFFSET('Rendimento esperado'!$B$16,0,MATCH('Cálculo de EE'!H22,IF('Cálculo de EE'!F22="externo",'Rendimento esperado'!$C$11:$F$11,'Rendimento esperado'!$G$11:$J$11),1)))</f>
        <v/>
      </c>
      <c r="AA22" s="73" t="str">
        <f ca="1">IF(Z22="","",IF((T22-0.2725/IF(Z22="",OFFSET('Rendimento esperado'!$B$16,0,MATCH('Cálculo de EE'!H22,IF('Cálculo de EE'!F22="externo",'Rendimento esperado'!$C$11:$F$11,'Rendimento esperado'!$G$11:$J$11),1)),Z22)*100)*I22*L22/100/D22&gt;0,(T22-0.2725/IF(Z22="",OFFSET('Rendimento esperado'!$B$16,0,MATCH('Cálculo de EE'!H22,IF('Cálculo de EE'!F22="externo",'Rendimento esperado'!$C$11:$F$11,'Rendimento esperado'!$G$11:$J$11),1)),Z22)*100)*I22*L22/100/D22,""))</f>
        <v/>
      </c>
      <c r="AB22" s="74" t="str">
        <f t="shared" ca="1" si="11"/>
        <v/>
      </c>
      <c r="AC22" s="75" t="str">
        <f t="shared" ca="1" si="3"/>
        <v/>
      </c>
      <c r="AD22" s="76" t="str">
        <f t="shared" ca="1" si="4"/>
        <v/>
      </c>
      <c r="AE22" s="96"/>
      <c r="AF22" s="77" t="str">
        <f t="shared" ca="1" si="15"/>
        <v/>
      </c>
      <c r="AG22" s="77"/>
      <c r="AH22" s="77"/>
      <c r="AI22" s="77"/>
      <c r="AJ22" s="77"/>
      <c r="AK22" s="77"/>
      <c r="AL22" s="78" t="e">
        <f ca="1">IF(AND(AF22="",#REF!=""),"",IF(#REF!="–","Informações insuficientes para orientar decisão",IF(AND(AF22="",#REF!&lt;&gt;""),"Não é necessária intervenção",IF(#REF!="★★★",IF(AF22&gt;36,"O retorno do investimento é lento","Realizar intervenção"),IF(AF22&gt;36,"O retorno do investimento é lento, porém uma análise mais detalhada é recomendável","A intervenção é vantajosa, porém uma análise mais detalhada é recomendável")))))</f>
        <v>#REF!</v>
      </c>
    </row>
    <row r="23" spans="1:42" s="79" customFormat="1" ht="25" customHeight="1" x14ac:dyDescent="0.35">
      <c r="A23" s="61"/>
      <c r="B23" s="62" t="s">
        <v>30</v>
      </c>
      <c r="C23" s="63"/>
      <c r="D23" s="64"/>
      <c r="E23" s="63"/>
      <c r="F23" s="63"/>
      <c r="G23" s="63"/>
      <c r="H23" s="63"/>
      <c r="I23" s="65"/>
      <c r="J23" s="63"/>
      <c r="K23" s="64"/>
      <c r="L23" s="66"/>
      <c r="M23" s="63"/>
      <c r="N23" s="64"/>
      <c r="O23" s="65"/>
      <c r="P23" s="63"/>
      <c r="Q23" s="63"/>
      <c r="R23" s="67"/>
      <c r="S23" s="68" t="str">
        <f t="shared" si="0"/>
        <v/>
      </c>
      <c r="T23" s="69" t="str">
        <f t="shared" si="1"/>
        <v/>
      </c>
      <c r="U23" s="70" t="str">
        <f t="shared" si="9"/>
        <v/>
      </c>
      <c r="V23" s="71" t="str">
        <f t="shared" si="10"/>
        <v/>
      </c>
      <c r="W23" s="72" t="str">
        <f ca="1">IF(U23="","",OFFSET('Rendimento esperado'!$B$11,MATCH('Cálculo de EE'!U23,OFFSET('Rendimento esperado'!$B$11,1,MATCH('Cálculo de EE'!H23,IF(F23="externo",'Rendimento esperado'!$C$11:$F$11,'Rendimento esperado'!$G$11:$J$11),1),7,1),1),0))</f>
        <v/>
      </c>
      <c r="X23" s="72" t="str">
        <f ca="1">IF(U23="","",OFFSET('Rendimento esperado'!$B$11,MATCH('Cálculo de EE'!U23,OFFSET('Rendimento esperado'!$B$11,1,MATCH('Cálculo de EE'!H23,IF(F23="externo",'Rendimento esperado'!$C$11:$F$11,'Rendimento esperado'!$G$11:$J$11),1),7,1),1),9))</f>
        <v/>
      </c>
      <c r="Y23" s="65"/>
      <c r="Z23" s="65" t="str">
        <f ca="1">IF(OR(F23="",H23=""),"",OFFSET('Rendimento esperado'!$B$16,0,MATCH('Cálculo de EE'!H23,IF('Cálculo de EE'!F23="externo",'Rendimento esperado'!$C$11:$F$11,'Rendimento esperado'!$G$11:$J$11),1)))</f>
        <v/>
      </c>
      <c r="AA23" s="73" t="str">
        <f ca="1">IF(Z23="","",IF((T23-0.2725/IF(Z23="",OFFSET('Rendimento esperado'!$B$16,0,MATCH('Cálculo de EE'!H23,IF('Cálculo de EE'!F23="externo",'Rendimento esperado'!$C$11:$F$11,'Rendimento esperado'!$G$11:$J$11),1)),Z23)*100)*I23*L23/100/D23&gt;0,(T23-0.2725/IF(Z23="",OFFSET('Rendimento esperado'!$B$16,0,MATCH('Cálculo de EE'!H23,IF('Cálculo de EE'!F23="externo",'Rendimento esperado'!$C$11:$F$11,'Rendimento esperado'!$G$11:$J$11),1)),Z23)*100)*I23*L23/100/D23,""))</f>
        <v/>
      </c>
      <c r="AB23" s="74" t="str">
        <f t="shared" ca="1" si="11"/>
        <v/>
      </c>
      <c r="AC23" s="75" t="str">
        <f t="shared" ca="1" si="3"/>
        <v/>
      </c>
      <c r="AD23" s="76" t="str">
        <f t="shared" ca="1" si="4"/>
        <v/>
      </c>
      <c r="AE23" s="96"/>
      <c r="AF23" s="77" t="str">
        <f t="shared" ca="1" si="15"/>
        <v/>
      </c>
      <c r="AG23" s="77"/>
      <c r="AH23" s="77"/>
      <c r="AI23" s="77"/>
      <c r="AJ23" s="77"/>
      <c r="AK23" s="77"/>
      <c r="AL23" s="78" t="e">
        <f ca="1">IF(AND(AF23="",#REF!=""),"",IF(#REF!="–","Informações insuficientes para orientar decisão",IF(AND(AF23="",#REF!&lt;&gt;""),"Não é necessária intervenção",IF(#REF!="★★★",IF(AF23&gt;36,"O retorno do investimento é lento","Realizar intervenção"),IF(AF23&gt;36,"O retorno do investimento é lento, porém uma análise mais detalhada é recomendável","A intervenção é vantajosa, porém uma análise mais detalhada é recomendável")))))</f>
        <v>#REF!</v>
      </c>
    </row>
    <row r="24" spans="1:42" s="79" customFormat="1" ht="25" customHeight="1" x14ac:dyDescent="0.35">
      <c r="A24" s="61"/>
      <c r="B24" s="62" t="s">
        <v>31</v>
      </c>
      <c r="C24" s="63"/>
      <c r="D24" s="64"/>
      <c r="E24" s="63"/>
      <c r="F24" s="63"/>
      <c r="G24" s="63"/>
      <c r="H24" s="63"/>
      <c r="I24" s="65"/>
      <c r="J24" s="63"/>
      <c r="K24" s="64"/>
      <c r="L24" s="66"/>
      <c r="M24" s="63"/>
      <c r="N24" s="64"/>
      <c r="O24" s="65"/>
      <c r="P24" s="63"/>
      <c r="Q24" s="63"/>
      <c r="R24" s="67"/>
      <c r="S24" s="68" t="str">
        <f t="shared" si="0"/>
        <v/>
      </c>
      <c r="T24" s="69" t="str">
        <f t="shared" si="1"/>
        <v/>
      </c>
      <c r="U24" s="70" t="str">
        <f t="shared" si="9"/>
        <v/>
      </c>
      <c r="V24" s="71" t="str">
        <f t="shared" si="10"/>
        <v/>
      </c>
      <c r="W24" s="72" t="str">
        <f ca="1">IF(U24="","",OFFSET('Rendimento esperado'!$B$11,MATCH('Cálculo de EE'!U24,OFFSET('Rendimento esperado'!$B$11,1,MATCH('Cálculo de EE'!H24,IF(F24="externo",'Rendimento esperado'!$C$11:$F$11,'Rendimento esperado'!$G$11:$J$11),1),7,1),1),0))</f>
        <v/>
      </c>
      <c r="X24" s="72" t="str">
        <f ca="1">IF(U24="","",OFFSET('Rendimento esperado'!$B$11,MATCH('Cálculo de EE'!U24,OFFSET('Rendimento esperado'!$B$11,1,MATCH('Cálculo de EE'!H24,IF(F24="externo",'Rendimento esperado'!$C$11:$F$11,'Rendimento esperado'!$G$11:$J$11),1),7,1),1),9))</f>
        <v/>
      </c>
      <c r="Y24" s="65"/>
      <c r="Z24" s="65" t="str">
        <f ca="1">IF(OR(F24="",H24=""),"",OFFSET('Rendimento esperado'!$B$16,0,MATCH('Cálculo de EE'!H24,IF('Cálculo de EE'!F24="externo",'Rendimento esperado'!$C$11:$F$11,'Rendimento esperado'!$G$11:$J$11),1)))</f>
        <v/>
      </c>
      <c r="AA24" s="73" t="str">
        <f ca="1">IF(Z24="","",IF((T24-0.2725/IF(Z24="",OFFSET('Rendimento esperado'!$B$16,0,MATCH('Cálculo de EE'!H24,IF('Cálculo de EE'!F24="externo",'Rendimento esperado'!$C$11:$F$11,'Rendimento esperado'!$G$11:$J$11),1)),Z24)*100)*I24*L24/100/D24&gt;0,(T24-0.2725/IF(Z24="",OFFSET('Rendimento esperado'!$B$16,0,MATCH('Cálculo de EE'!H24,IF('Cálculo de EE'!F24="externo",'Rendimento esperado'!$C$11:$F$11,'Rendimento esperado'!$G$11:$J$11),1)),Z24)*100)*I24*L24/100/D24,""))</f>
        <v/>
      </c>
      <c r="AB24" s="74" t="str">
        <f t="shared" ca="1" si="11"/>
        <v/>
      </c>
      <c r="AC24" s="75" t="str">
        <f t="shared" ca="1" si="3"/>
        <v/>
      </c>
      <c r="AD24" s="76" t="str">
        <f t="shared" ca="1" si="4"/>
        <v/>
      </c>
      <c r="AE24" s="96"/>
      <c r="AF24" s="77" t="str">
        <f t="shared" ca="1" si="15"/>
        <v/>
      </c>
      <c r="AG24" s="77"/>
      <c r="AH24" s="77"/>
      <c r="AI24" s="77"/>
      <c r="AJ24" s="77"/>
      <c r="AK24" s="77"/>
      <c r="AL24" s="78" t="e">
        <f ca="1">IF(AND(AF24="",#REF!=""),"",IF(#REF!="–","Informações insuficientes para orientar decisão",IF(AND(AF24="",#REF!&lt;&gt;""),"Não é necessária intervenção",IF(#REF!="★★★",IF(AF24&gt;36,"O retorno do investimento é lento","Realizar intervenção"),IF(AF24&gt;36,"O retorno do investimento é lento, porém uma análise mais detalhada é recomendável","A intervenção é vantajosa, porém uma análise mais detalhada é recomendável")))))</f>
        <v>#REF!</v>
      </c>
    </row>
    <row r="25" spans="1:42" s="79" customFormat="1" ht="25" customHeight="1" x14ac:dyDescent="0.35">
      <c r="A25" s="61"/>
      <c r="B25" s="62" t="s">
        <v>32</v>
      </c>
      <c r="C25" s="63"/>
      <c r="D25" s="64"/>
      <c r="E25" s="63"/>
      <c r="F25" s="63"/>
      <c r="G25" s="63"/>
      <c r="H25" s="63"/>
      <c r="I25" s="65"/>
      <c r="J25" s="63"/>
      <c r="K25" s="64"/>
      <c r="L25" s="66"/>
      <c r="M25" s="63"/>
      <c r="N25" s="64"/>
      <c r="O25" s="65"/>
      <c r="P25" s="63"/>
      <c r="Q25" s="63"/>
      <c r="R25" s="67"/>
      <c r="S25" s="68" t="str">
        <f t="shared" si="0"/>
        <v/>
      </c>
      <c r="T25" s="69" t="str">
        <f t="shared" si="1"/>
        <v/>
      </c>
      <c r="U25" s="70" t="str">
        <f t="shared" si="9"/>
        <v/>
      </c>
      <c r="V25" s="71" t="str">
        <f t="shared" si="10"/>
        <v/>
      </c>
      <c r="W25" s="72" t="str">
        <f ca="1">IF(U25="","",OFFSET('Rendimento esperado'!$B$11,MATCH('Cálculo de EE'!U25,OFFSET('Rendimento esperado'!$B$11,1,MATCH('Cálculo de EE'!H25,IF(F25="externo",'Rendimento esperado'!$C$11:$F$11,'Rendimento esperado'!$G$11:$J$11),1),7,1),1),0))</f>
        <v/>
      </c>
      <c r="X25" s="72" t="str">
        <f ca="1">IF(U25="","",OFFSET('Rendimento esperado'!$B$11,MATCH('Cálculo de EE'!U25,OFFSET('Rendimento esperado'!$B$11,1,MATCH('Cálculo de EE'!H25,IF(F25="externo",'Rendimento esperado'!$C$11:$F$11,'Rendimento esperado'!$G$11:$J$11),1),7,1),1),9))</f>
        <v/>
      </c>
      <c r="Y25" s="65"/>
      <c r="Z25" s="65" t="str">
        <f ca="1">IF(OR(F25="",H25=""),"",OFFSET('Rendimento esperado'!$B$16,0,MATCH('Cálculo de EE'!H25,IF('Cálculo de EE'!F25="externo",'Rendimento esperado'!$C$11:$F$11,'Rendimento esperado'!$G$11:$J$11),1)))</f>
        <v/>
      </c>
      <c r="AA25" s="73" t="str">
        <f ca="1">IF(Z25="","",IF((T25-0.2725/IF(Z25="",OFFSET('Rendimento esperado'!$B$16,0,MATCH('Cálculo de EE'!H25,IF('Cálculo de EE'!F25="externo",'Rendimento esperado'!$C$11:$F$11,'Rendimento esperado'!$G$11:$J$11),1)),Z25)*100)*I25*L25/100/D25&gt;0,(T25-0.2725/IF(Z25="",OFFSET('Rendimento esperado'!$B$16,0,MATCH('Cálculo de EE'!H25,IF('Cálculo de EE'!F25="externo",'Rendimento esperado'!$C$11:$F$11,'Rendimento esperado'!$G$11:$J$11),1)),Z25)*100)*I25*L25/100/D25,""))</f>
        <v/>
      </c>
      <c r="AB25" s="74" t="str">
        <f t="shared" ca="1" si="11"/>
        <v/>
      </c>
      <c r="AC25" s="75" t="str">
        <f t="shared" ca="1" si="3"/>
        <v/>
      </c>
      <c r="AD25" s="76" t="str">
        <f t="shared" ca="1" si="4"/>
        <v/>
      </c>
      <c r="AE25" s="96"/>
      <c r="AF25" s="77" t="str">
        <f t="shared" ca="1" si="15"/>
        <v/>
      </c>
      <c r="AG25" s="77"/>
      <c r="AH25" s="77"/>
      <c r="AI25" s="77"/>
      <c r="AJ25" s="77"/>
      <c r="AK25" s="77"/>
      <c r="AL25" s="78" t="e">
        <f ca="1">IF(AND(AF25="",#REF!=""),"",IF(#REF!="–","Informações insuficientes para orientar decisão",IF(AND(AF25="",#REF!&lt;&gt;""),"Não é necessária intervenção",IF(#REF!="★★★",IF(AF25&gt;36,"O retorno do investimento é lento","Realizar intervenção"),IF(AF25&gt;36,"O retorno do investimento é lento, porém uma análise mais detalhada é recomendável","A intervenção é vantajosa, porém uma análise mais detalhada é recomendável")))))</f>
        <v>#REF!</v>
      </c>
    </row>
    <row r="26" spans="1:42" s="79" customFormat="1" ht="25" customHeight="1" x14ac:dyDescent="0.35">
      <c r="A26" s="61"/>
      <c r="B26" s="62" t="s">
        <v>33</v>
      </c>
      <c r="C26" s="63"/>
      <c r="D26" s="64"/>
      <c r="E26" s="63"/>
      <c r="F26" s="63"/>
      <c r="G26" s="63"/>
      <c r="H26" s="63"/>
      <c r="I26" s="65"/>
      <c r="J26" s="63"/>
      <c r="K26" s="64"/>
      <c r="L26" s="66"/>
      <c r="M26" s="63"/>
      <c r="N26" s="64"/>
      <c r="O26" s="65"/>
      <c r="P26" s="63"/>
      <c r="Q26" s="63"/>
      <c r="R26" s="67"/>
      <c r="S26" s="68" t="str">
        <f t="shared" si="0"/>
        <v/>
      </c>
      <c r="T26" s="69" t="str">
        <f t="shared" si="1"/>
        <v/>
      </c>
      <c r="U26" s="70" t="str">
        <f t="shared" si="9"/>
        <v/>
      </c>
      <c r="V26" s="71" t="str">
        <f t="shared" si="10"/>
        <v/>
      </c>
      <c r="W26" s="72" t="str">
        <f ca="1">IF(U26="","",OFFSET('Rendimento esperado'!$B$11,MATCH('Cálculo de EE'!U26,OFFSET('Rendimento esperado'!$B$11,1,MATCH('Cálculo de EE'!H26,IF(F26="externo",'Rendimento esperado'!$C$11:$F$11,'Rendimento esperado'!$G$11:$J$11),1),7,1),1),0))</f>
        <v/>
      </c>
      <c r="X26" s="72" t="str">
        <f ca="1">IF(U26="","",OFFSET('Rendimento esperado'!$B$11,MATCH('Cálculo de EE'!U26,OFFSET('Rendimento esperado'!$B$11,1,MATCH('Cálculo de EE'!H26,IF(F26="externo",'Rendimento esperado'!$C$11:$F$11,'Rendimento esperado'!$G$11:$J$11),1),7,1),1),9))</f>
        <v/>
      </c>
      <c r="Y26" s="65"/>
      <c r="Z26" s="65" t="str">
        <f ca="1">IF(OR(F26="",H26=""),"",OFFSET('Rendimento esperado'!$B$16,0,MATCH('Cálculo de EE'!H26,IF('Cálculo de EE'!F26="externo",'Rendimento esperado'!$C$11:$F$11,'Rendimento esperado'!$G$11:$J$11),1)))</f>
        <v/>
      </c>
      <c r="AA26" s="73" t="str">
        <f ca="1">IF(Z26="","",IF((T26-0.2725/IF(Z26="",OFFSET('Rendimento esperado'!$B$16,0,MATCH('Cálculo de EE'!H26,IF('Cálculo de EE'!F26="externo",'Rendimento esperado'!$C$11:$F$11,'Rendimento esperado'!$G$11:$J$11),1)),Z26)*100)*I26*L26/100/D26&gt;0,(T26-0.2725/IF(Z26="",OFFSET('Rendimento esperado'!$B$16,0,MATCH('Cálculo de EE'!H26,IF('Cálculo de EE'!F26="externo",'Rendimento esperado'!$C$11:$F$11,'Rendimento esperado'!$G$11:$J$11),1)),Z26)*100)*I26*L26/100/D26,""))</f>
        <v/>
      </c>
      <c r="AB26" s="74" t="str">
        <f t="shared" ca="1" si="11"/>
        <v/>
      </c>
      <c r="AC26" s="75" t="str">
        <f t="shared" ca="1" si="3"/>
        <v/>
      </c>
      <c r="AD26" s="76" t="str">
        <f t="shared" ca="1" si="4"/>
        <v/>
      </c>
      <c r="AE26" s="96"/>
      <c r="AF26" s="77" t="str">
        <f t="shared" ca="1" si="15"/>
        <v/>
      </c>
      <c r="AG26" s="77"/>
      <c r="AH26" s="77"/>
      <c r="AI26" s="77"/>
      <c r="AJ26" s="77"/>
      <c r="AK26" s="77"/>
      <c r="AL26" s="78" t="e">
        <f ca="1">IF(AND(AF26="",#REF!=""),"",IF(#REF!="–","Informações insuficientes para orientar decisão",IF(AND(AF26="",#REF!&lt;&gt;""),"Não é necessária intervenção",IF(#REF!="★★★",IF(AF26&gt;36,"O retorno do investimento é lento","Realizar intervenção"),IF(AF26&gt;36,"O retorno do investimento é lento, porém uma análise mais detalhada é recomendável","A intervenção é vantajosa, porém uma análise mais detalhada é recomendável")))))</f>
        <v>#REF!</v>
      </c>
    </row>
    <row r="27" spans="1:42" s="79" customFormat="1" ht="25" customHeight="1" x14ac:dyDescent="0.35">
      <c r="A27" s="61"/>
      <c r="B27" s="62" t="s">
        <v>34</v>
      </c>
      <c r="C27" s="63"/>
      <c r="D27" s="64"/>
      <c r="E27" s="63"/>
      <c r="F27" s="63"/>
      <c r="G27" s="63"/>
      <c r="H27" s="63"/>
      <c r="I27" s="65"/>
      <c r="J27" s="63"/>
      <c r="K27" s="64"/>
      <c r="L27" s="66"/>
      <c r="M27" s="63"/>
      <c r="N27" s="64"/>
      <c r="O27" s="65"/>
      <c r="P27" s="63"/>
      <c r="Q27" s="63"/>
      <c r="R27" s="67"/>
      <c r="S27" s="68" t="str">
        <f t="shared" si="0"/>
        <v/>
      </c>
      <c r="T27" s="69" t="str">
        <f t="shared" si="1"/>
        <v/>
      </c>
      <c r="U27" s="70" t="str">
        <f t="shared" si="9"/>
        <v/>
      </c>
      <c r="V27" s="71" t="str">
        <f t="shared" si="10"/>
        <v/>
      </c>
      <c r="W27" s="72" t="str">
        <f ca="1">IF(U27="","",OFFSET('Rendimento esperado'!$B$11,MATCH('Cálculo de EE'!U27,OFFSET('Rendimento esperado'!$B$11,1,MATCH('Cálculo de EE'!H27,IF(F27="externo",'Rendimento esperado'!$C$11:$F$11,'Rendimento esperado'!$G$11:$J$11),1),7,1),1),0))</f>
        <v/>
      </c>
      <c r="X27" s="72" t="str">
        <f ca="1">IF(U27="","",OFFSET('Rendimento esperado'!$B$11,MATCH('Cálculo de EE'!U27,OFFSET('Rendimento esperado'!$B$11,1,MATCH('Cálculo de EE'!H27,IF(F27="externo",'Rendimento esperado'!$C$11:$F$11,'Rendimento esperado'!$G$11:$J$11),1),7,1),1),9))</f>
        <v/>
      </c>
      <c r="Y27" s="65"/>
      <c r="Z27" s="65" t="str">
        <f ca="1">IF(OR(F27="",H27=""),"",OFFSET('Rendimento esperado'!$B$16,0,MATCH('Cálculo de EE'!H27,IF('Cálculo de EE'!F27="externo",'Rendimento esperado'!$C$11:$F$11,'Rendimento esperado'!$G$11:$J$11),1)))</f>
        <v/>
      </c>
      <c r="AA27" s="73" t="str">
        <f ca="1">IF(Z27="","",IF((T27-0.2725/IF(Z27="",OFFSET('Rendimento esperado'!$B$16,0,MATCH('Cálculo de EE'!H27,IF('Cálculo de EE'!F27="externo",'Rendimento esperado'!$C$11:$F$11,'Rendimento esperado'!$G$11:$J$11),1)),Z27)*100)*I27*L27/100/D27&gt;0,(T27-0.2725/IF(Z27="",OFFSET('Rendimento esperado'!$B$16,0,MATCH('Cálculo de EE'!H27,IF('Cálculo de EE'!F27="externo",'Rendimento esperado'!$C$11:$F$11,'Rendimento esperado'!$G$11:$J$11),1)),Z27)*100)*I27*L27/100/D27,""))</f>
        <v/>
      </c>
      <c r="AB27" s="74" t="str">
        <f t="shared" ca="1" si="11"/>
        <v/>
      </c>
      <c r="AC27" s="75" t="str">
        <f t="shared" ca="1" si="3"/>
        <v/>
      </c>
      <c r="AD27" s="76" t="str">
        <f t="shared" ca="1" si="4"/>
        <v/>
      </c>
      <c r="AE27" s="96"/>
      <c r="AF27" s="77" t="str">
        <f t="shared" ca="1" si="15"/>
        <v/>
      </c>
      <c r="AG27" s="77"/>
      <c r="AH27" s="77"/>
      <c r="AI27" s="77"/>
      <c r="AJ27" s="77"/>
      <c r="AK27" s="77"/>
      <c r="AL27" s="78" t="e">
        <f ca="1">IF(AND(AF27="",#REF!=""),"",IF(#REF!="–","Informações insuficientes para orientar decisão",IF(AND(AF27="",#REF!&lt;&gt;""),"Não é necessária intervenção",IF(#REF!="★★★",IF(AF27&gt;36,"O retorno do investimento é lento","Realizar intervenção"),IF(AF27&gt;36,"O retorno do investimento é lento, porém uma análise mais detalhada é recomendável","A intervenção é vantajosa, porém uma análise mais detalhada é recomendável")))))</f>
        <v>#REF!</v>
      </c>
    </row>
    <row r="28" spans="1:42" s="79" customFormat="1" ht="25" customHeight="1" x14ac:dyDescent="0.35">
      <c r="A28" s="61"/>
      <c r="B28" s="62" t="s">
        <v>35</v>
      </c>
      <c r="C28" s="63"/>
      <c r="D28" s="64"/>
      <c r="E28" s="63"/>
      <c r="F28" s="63"/>
      <c r="G28" s="63"/>
      <c r="H28" s="63"/>
      <c r="I28" s="65"/>
      <c r="J28" s="63"/>
      <c r="K28" s="64"/>
      <c r="L28" s="66"/>
      <c r="M28" s="63"/>
      <c r="N28" s="64"/>
      <c r="O28" s="65"/>
      <c r="P28" s="63"/>
      <c r="Q28" s="63"/>
      <c r="R28" s="67"/>
      <c r="S28" s="68" t="str">
        <f t="shared" si="0"/>
        <v/>
      </c>
      <c r="T28" s="69" t="str">
        <f t="shared" si="1"/>
        <v/>
      </c>
      <c r="U28" s="70" t="str">
        <f t="shared" si="9"/>
        <v/>
      </c>
      <c r="V28" s="71" t="str">
        <f t="shared" si="10"/>
        <v/>
      </c>
      <c r="W28" s="72" t="str">
        <f ca="1">IF(U28="","",OFFSET('Rendimento esperado'!$B$11,MATCH('Cálculo de EE'!U28,OFFSET('Rendimento esperado'!$B$11,1,MATCH('Cálculo de EE'!H28,IF(F28="externo",'Rendimento esperado'!$C$11:$F$11,'Rendimento esperado'!$G$11:$J$11),1),7,1),1),0))</f>
        <v/>
      </c>
      <c r="X28" s="72" t="str">
        <f ca="1">IF(U28="","",OFFSET('Rendimento esperado'!$B$11,MATCH('Cálculo de EE'!U28,OFFSET('Rendimento esperado'!$B$11,1,MATCH('Cálculo de EE'!H28,IF(F28="externo",'Rendimento esperado'!$C$11:$F$11,'Rendimento esperado'!$G$11:$J$11),1),7,1),1),9))</f>
        <v/>
      </c>
      <c r="Y28" s="65"/>
      <c r="Z28" s="65" t="str">
        <f ca="1">IF(OR(F28="",H28=""),"",OFFSET('Rendimento esperado'!$B$16,0,MATCH('Cálculo de EE'!H28,IF('Cálculo de EE'!F28="externo",'Rendimento esperado'!$C$11:$F$11,'Rendimento esperado'!$G$11:$J$11),1)))</f>
        <v/>
      </c>
      <c r="AA28" s="73" t="str">
        <f ca="1">IF(Z28="","",IF((T28-0.2725/IF(Z28="",OFFSET('Rendimento esperado'!$B$16,0,MATCH('Cálculo de EE'!H28,IF('Cálculo de EE'!F28="externo",'Rendimento esperado'!$C$11:$F$11,'Rendimento esperado'!$G$11:$J$11),1)),Z28)*100)*I28*L28/100/D28&gt;0,(T28-0.2725/IF(Z28="",OFFSET('Rendimento esperado'!$B$16,0,MATCH('Cálculo de EE'!H28,IF('Cálculo de EE'!F28="externo",'Rendimento esperado'!$C$11:$F$11,'Rendimento esperado'!$G$11:$J$11),1)),Z28)*100)*I28*L28/100/D28,""))</f>
        <v/>
      </c>
      <c r="AB28" s="74" t="str">
        <f t="shared" ca="1" si="11"/>
        <v/>
      </c>
      <c r="AC28" s="75" t="str">
        <f t="shared" ca="1" si="3"/>
        <v/>
      </c>
      <c r="AD28" s="76" t="str">
        <f t="shared" ca="1" si="4"/>
        <v/>
      </c>
      <c r="AE28" s="96"/>
      <c r="AF28" s="77" t="str">
        <f t="shared" ca="1" si="15"/>
        <v/>
      </c>
      <c r="AG28" s="77"/>
      <c r="AH28" s="77"/>
      <c r="AI28" s="77"/>
      <c r="AJ28" s="77"/>
      <c r="AK28" s="77"/>
      <c r="AL28" s="78" t="e">
        <f ca="1">IF(AND(AF28="",#REF!=""),"",IF(#REF!="–","Informações insuficientes para orientar decisão",IF(AND(AF28="",#REF!&lt;&gt;""),"Não é necessária intervenção",IF(#REF!="★★★",IF(AF28&gt;36,"O retorno do investimento é lento","Realizar intervenção"),IF(AF28&gt;36,"O retorno do investimento é lento, porém uma análise mais detalhada é recomendável","A intervenção é vantajosa, porém uma análise mais detalhada é recomendável")))))</f>
        <v>#REF!</v>
      </c>
    </row>
    <row r="29" spans="1:42" s="79" customFormat="1" ht="25" customHeight="1" x14ac:dyDescent="0.35">
      <c r="A29" s="61"/>
      <c r="B29" s="62" t="s">
        <v>36</v>
      </c>
      <c r="C29" s="63"/>
      <c r="D29" s="64"/>
      <c r="E29" s="63"/>
      <c r="F29" s="63"/>
      <c r="G29" s="63"/>
      <c r="H29" s="63"/>
      <c r="I29" s="65"/>
      <c r="J29" s="63"/>
      <c r="K29" s="64"/>
      <c r="L29" s="66"/>
      <c r="M29" s="63"/>
      <c r="N29" s="64"/>
      <c r="O29" s="65"/>
      <c r="P29" s="63"/>
      <c r="Q29" s="63"/>
      <c r="R29" s="67"/>
      <c r="S29" s="68" t="str">
        <f t="shared" si="0"/>
        <v/>
      </c>
      <c r="T29" s="69" t="str">
        <f t="shared" si="1"/>
        <v/>
      </c>
      <c r="U29" s="70" t="str">
        <f t="shared" si="9"/>
        <v/>
      </c>
      <c r="V29" s="71" t="str">
        <f t="shared" si="10"/>
        <v/>
      </c>
      <c r="W29" s="72" t="str">
        <f ca="1">IF(U29="","",OFFSET('Rendimento esperado'!$B$11,MATCH('Cálculo de EE'!U29,OFFSET('Rendimento esperado'!$B$11,1,MATCH('Cálculo de EE'!H29,IF(F29="externo",'Rendimento esperado'!$C$11:$F$11,'Rendimento esperado'!$G$11:$J$11),1),7,1),1),0))</f>
        <v/>
      </c>
      <c r="X29" s="72" t="str">
        <f ca="1">IF(U29="","",OFFSET('Rendimento esperado'!$B$11,MATCH('Cálculo de EE'!U29,OFFSET('Rendimento esperado'!$B$11,1,MATCH('Cálculo de EE'!H29,IF(F29="externo",'Rendimento esperado'!$C$11:$F$11,'Rendimento esperado'!$G$11:$J$11),1),7,1),1),9))</f>
        <v/>
      </c>
      <c r="Y29" s="65"/>
      <c r="Z29" s="65" t="str">
        <f ca="1">IF(OR(F29="",H29=""),"",OFFSET('Rendimento esperado'!$B$16,0,MATCH('Cálculo de EE'!H29,IF('Cálculo de EE'!F29="externo",'Rendimento esperado'!$C$11:$F$11,'Rendimento esperado'!$G$11:$J$11),1)))</f>
        <v/>
      </c>
      <c r="AA29" s="73" t="str">
        <f ca="1">IF(Z29="","",IF((T29-0.2725/IF(Z29="",OFFSET('Rendimento esperado'!$B$16,0,MATCH('Cálculo de EE'!H29,IF('Cálculo de EE'!F29="externo",'Rendimento esperado'!$C$11:$F$11,'Rendimento esperado'!$G$11:$J$11),1)),Z29)*100)*I29*L29/100/D29&gt;0,(T29-0.2725/IF(Z29="",OFFSET('Rendimento esperado'!$B$16,0,MATCH('Cálculo de EE'!H29,IF('Cálculo de EE'!F29="externo",'Rendimento esperado'!$C$11:$F$11,'Rendimento esperado'!$G$11:$J$11),1)),Z29)*100)*I29*L29/100/D29,""))</f>
        <v/>
      </c>
      <c r="AB29" s="74" t="str">
        <f t="shared" ca="1" si="11"/>
        <v/>
      </c>
      <c r="AC29" s="75" t="str">
        <f t="shared" ca="1" si="3"/>
        <v/>
      </c>
      <c r="AD29" s="76" t="str">
        <f t="shared" ca="1" si="4"/>
        <v/>
      </c>
      <c r="AE29" s="96"/>
      <c r="AF29" s="77" t="str">
        <f t="shared" ca="1" si="15"/>
        <v/>
      </c>
      <c r="AG29" s="77"/>
      <c r="AH29" s="77"/>
      <c r="AI29" s="77"/>
      <c r="AJ29" s="77"/>
      <c r="AK29" s="77"/>
      <c r="AL29" s="78" t="e">
        <f ca="1">IF(AND(AF29="",#REF!=""),"",IF(#REF!="–","Informações insuficientes para orientar decisão",IF(AND(AF29="",#REF!&lt;&gt;""),"Não é necessária intervenção",IF(#REF!="★★★",IF(AF29&gt;36,"O retorno do investimento é lento","Realizar intervenção"),IF(AF29&gt;36,"O retorno do investimento é lento, porém uma análise mais detalhada é recomendável","A intervenção é vantajosa, porém uma análise mais detalhada é recomendável")))))</f>
        <v>#REF!</v>
      </c>
    </row>
    <row r="30" spans="1:42" s="79" customFormat="1" ht="25" customHeight="1" x14ac:dyDescent="0.35">
      <c r="A30" s="61"/>
      <c r="B30" s="62" t="s">
        <v>37</v>
      </c>
      <c r="C30" s="63"/>
      <c r="D30" s="64"/>
      <c r="E30" s="63"/>
      <c r="F30" s="63"/>
      <c r="G30" s="63"/>
      <c r="H30" s="63"/>
      <c r="I30" s="65"/>
      <c r="J30" s="63"/>
      <c r="K30" s="64"/>
      <c r="L30" s="66"/>
      <c r="M30" s="63"/>
      <c r="N30" s="64"/>
      <c r="O30" s="65"/>
      <c r="P30" s="63"/>
      <c r="Q30" s="63"/>
      <c r="R30" s="67"/>
      <c r="S30" s="68" t="str">
        <f t="shared" si="0"/>
        <v/>
      </c>
      <c r="T30" s="69" t="str">
        <f t="shared" si="1"/>
        <v/>
      </c>
      <c r="U30" s="70" t="str">
        <f t="shared" si="9"/>
        <v/>
      </c>
      <c r="V30" s="71" t="str">
        <f t="shared" si="10"/>
        <v/>
      </c>
      <c r="W30" s="72" t="str">
        <f ca="1">IF(U30="","",OFFSET('Rendimento esperado'!$B$11,MATCH('Cálculo de EE'!U30,OFFSET('Rendimento esperado'!$B$11,1,MATCH('Cálculo de EE'!H30,IF(F30="externo",'Rendimento esperado'!$C$11:$F$11,'Rendimento esperado'!$G$11:$J$11),1),7,1),1),0))</f>
        <v/>
      </c>
      <c r="X30" s="72" t="str">
        <f ca="1">IF(U30="","",OFFSET('Rendimento esperado'!$B$11,MATCH('Cálculo de EE'!U30,OFFSET('Rendimento esperado'!$B$11,1,MATCH('Cálculo de EE'!H30,IF(F30="externo",'Rendimento esperado'!$C$11:$F$11,'Rendimento esperado'!$G$11:$J$11),1),7,1),1),9))</f>
        <v/>
      </c>
      <c r="Y30" s="65"/>
      <c r="Z30" s="65" t="str">
        <f ca="1">IF(OR(F30="",H30=""),"",OFFSET('Rendimento esperado'!$B$16,0,MATCH('Cálculo de EE'!H30,IF('Cálculo de EE'!F30="externo",'Rendimento esperado'!$C$11:$F$11,'Rendimento esperado'!$G$11:$J$11),1)))</f>
        <v/>
      </c>
      <c r="AA30" s="73" t="str">
        <f ca="1">IF(Z30="","",IF((T30-0.2725/IF(Z30="",OFFSET('Rendimento esperado'!$B$16,0,MATCH('Cálculo de EE'!H30,IF('Cálculo de EE'!F30="externo",'Rendimento esperado'!$C$11:$F$11,'Rendimento esperado'!$G$11:$J$11),1)),Z30)*100)*I30*L30/100/D30&gt;0,(T30-0.2725/IF(Z30="",OFFSET('Rendimento esperado'!$B$16,0,MATCH('Cálculo de EE'!H30,IF('Cálculo de EE'!F30="externo",'Rendimento esperado'!$C$11:$F$11,'Rendimento esperado'!$G$11:$J$11),1)),Z30)*100)*I30*L30/100/D30,""))</f>
        <v/>
      </c>
      <c r="AB30" s="74" t="str">
        <f t="shared" ca="1" si="11"/>
        <v/>
      </c>
      <c r="AC30" s="75" t="str">
        <f t="shared" ca="1" si="3"/>
        <v/>
      </c>
      <c r="AD30" s="76" t="str">
        <f t="shared" ca="1" si="4"/>
        <v/>
      </c>
      <c r="AE30" s="96"/>
      <c r="AF30" s="77" t="str">
        <f t="shared" ca="1" si="15"/>
        <v/>
      </c>
      <c r="AG30" s="77"/>
      <c r="AH30" s="77"/>
      <c r="AI30" s="77"/>
      <c r="AJ30" s="77"/>
      <c r="AK30" s="77"/>
      <c r="AL30" s="78" t="e">
        <f ca="1">IF(AND(AF30="",#REF!=""),"",IF(#REF!="–","Informações insuficientes para orientar decisão",IF(AND(AF30="",#REF!&lt;&gt;""),"Não é necessária intervenção",IF(#REF!="★★★",IF(AF30&gt;36,"O retorno do investimento é lento","Realizar intervenção"),IF(AF30&gt;36,"O retorno do investimento é lento, porém uma análise mais detalhada é recomendável","A intervenção é vantajosa, porém uma análise mais detalhada é recomendável")))))</f>
        <v>#REF!</v>
      </c>
    </row>
    <row r="31" spans="1:42" s="79" customFormat="1" ht="25" customHeight="1" x14ac:dyDescent="0.35">
      <c r="A31" s="61"/>
      <c r="B31" s="62" t="s">
        <v>38</v>
      </c>
      <c r="C31" s="63"/>
      <c r="D31" s="64"/>
      <c r="E31" s="63"/>
      <c r="F31" s="63"/>
      <c r="G31" s="63"/>
      <c r="H31" s="63"/>
      <c r="I31" s="65"/>
      <c r="J31" s="63"/>
      <c r="K31" s="64"/>
      <c r="L31" s="66"/>
      <c r="M31" s="63"/>
      <c r="N31" s="64"/>
      <c r="O31" s="65"/>
      <c r="P31" s="63"/>
      <c r="Q31" s="63"/>
      <c r="R31" s="67"/>
      <c r="S31" s="68" t="str">
        <f t="shared" si="0"/>
        <v/>
      </c>
      <c r="T31" s="69" t="str">
        <f t="shared" si="1"/>
        <v/>
      </c>
      <c r="U31" s="70" t="str">
        <f t="shared" si="9"/>
        <v/>
      </c>
      <c r="V31" s="71" t="str">
        <f t="shared" si="10"/>
        <v/>
      </c>
      <c r="W31" s="72" t="str">
        <f ca="1">IF(U31="","",OFFSET('Rendimento esperado'!$B$11,MATCH('Cálculo de EE'!U31,OFFSET('Rendimento esperado'!$B$11,1,MATCH('Cálculo de EE'!H31,IF(F31="externo",'Rendimento esperado'!$C$11:$F$11,'Rendimento esperado'!$G$11:$J$11),1),7,1),1),0))</f>
        <v/>
      </c>
      <c r="X31" s="72" t="str">
        <f ca="1">IF(U31="","",OFFSET('Rendimento esperado'!$B$11,MATCH('Cálculo de EE'!U31,OFFSET('Rendimento esperado'!$B$11,1,MATCH('Cálculo de EE'!H31,IF(F31="externo",'Rendimento esperado'!$C$11:$F$11,'Rendimento esperado'!$G$11:$J$11),1),7,1),1),9))</f>
        <v/>
      </c>
      <c r="Y31" s="65"/>
      <c r="Z31" s="65" t="str">
        <f ca="1">IF(OR(F31="",H31=""),"",OFFSET('Rendimento esperado'!$B$16,0,MATCH('Cálculo de EE'!H31,IF('Cálculo de EE'!F31="externo",'Rendimento esperado'!$C$11:$F$11,'Rendimento esperado'!$G$11:$J$11),1)))</f>
        <v/>
      </c>
      <c r="AA31" s="73" t="str">
        <f ca="1">IF(Z31="","",IF((T31-0.2725/IF(Z31="",OFFSET('Rendimento esperado'!$B$16,0,MATCH('Cálculo de EE'!H31,IF('Cálculo de EE'!F31="externo",'Rendimento esperado'!$C$11:$F$11,'Rendimento esperado'!$G$11:$J$11),1)),Z31)*100)*I31*L31/100/D31&gt;0,(T31-0.2725/IF(Z31="",OFFSET('Rendimento esperado'!$B$16,0,MATCH('Cálculo de EE'!H31,IF('Cálculo de EE'!F31="externo",'Rendimento esperado'!$C$11:$F$11,'Rendimento esperado'!$G$11:$J$11),1)),Z31)*100)*I31*L31/100/D31,""))</f>
        <v/>
      </c>
      <c r="AB31" s="74" t="str">
        <f t="shared" ca="1" si="11"/>
        <v/>
      </c>
      <c r="AC31" s="75" t="str">
        <f t="shared" ca="1" si="3"/>
        <v/>
      </c>
      <c r="AD31" s="76" t="str">
        <f t="shared" ca="1" si="4"/>
        <v/>
      </c>
      <c r="AE31" s="96"/>
      <c r="AF31" s="77" t="str">
        <f t="shared" ca="1" si="15"/>
        <v/>
      </c>
      <c r="AG31" s="77"/>
      <c r="AH31" s="77"/>
      <c r="AI31" s="77"/>
      <c r="AJ31" s="77"/>
      <c r="AK31" s="77"/>
      <c r="AL31" s="78" t="e">
        <f ca="1">IF(AND(AF31="",#REF!=""),"",IF(#REF!="–","Informações insuficientes para orientar decisão",IF(AND(AF31="",#REF!&lt;&gt;""),"Não é necessária intervenção",IF(#REF!="★★★",IF(AF31&gt;36,"O retorno do investimento é lento","Realizar intervenção"),IF(AF31&gt;36,"O retorno do investimento é lento, porém uma análise mais detalhada é recomendável","A intervenção é vantajosa, porém uma análise mais detalhada é recomendável")))))</f>
        <v>#REF!</v>
      </c>
    </row>
    <row r="32" spans="1:42" s="85" customFormat="1" ht="25" customHeight="1" x14ac:dyDescent="0.35">
      <c r="A32" s="61"/>
      <c r="B32" s="62" t="s">
        <v>41</v>
      </c>
      <c r="C32" s="82"/>
      <c r="D32" s="82"/>
      <c r="E32" s="82"/>
      <c r="F32" s="82"/>
      <c r="G32" s="82"/>
      <c r="H32" s="82"/>
      <c r="I32" s="65"/>
      <c r="J32" s="82"/>
      <c r="K32" s="82"/>
      <c r="L32" s="82"/>
      <c r="M32" s="82"/>
      <c r="N32" s="82"/>
      <c r="O32" s="83"/>
      <c r="P32" s="82"/>
      <c r="Q32" s="82"/>
      <c r="R32" s="84"/>
      <c r="S32" s="68" t="str">
        <f t="shared" si="0"/>
        <v/>
      </c>
      <c r="T32" s="69" t="str">
        <f t="shared" si="1"/>
        <v/>
      </c>
      <c r="U32" s="70" t="str">
        <f t="shared" si="9"/>
        <v/>
      </c>
      <c r="V32" s="71" t="str">
        <f t="shared" si="10"/>
        <v/>
      </c>
      <c r="W32" s="72" t="str">
        <f ca="1">IF(U32="","",OFFSET('Rendimento esperado'!$B$11,MATCH('Cálculo de EE'!U32,OFFSET('Rendimento esperado'!$B$11,1,MATCH('Cálculo de EE'!H32,IF(F32="externo",'Rendimento esperado'!$C$11:$F$11,'Rendimento esperado'!$G$11:$J$11),1),7,1),1),0))</f>
        <v/>
      </c>
      <c r="X32" s="72" t="str">
        <f ca="1">IF(U32="","",OFFSET('Rendimento esperado'!$B$11,MATCH('Cálculo de EE'!U32,OFFSET('Rendimento esperado'!$B$11,1,MATCH('Cálculo de EE'!H32,IF(F32="externo",'Rendimento esperado'!$C$11:$F$11,'Rendimento esperado'!$G$11:$J$11),1),7,1),1),9))</f>
        <v/>
      </c>
      <c r="Y32" s="83"/>
      <c r="Z32" s="65" t="str">
        <f ca="1">IF(OR(F32="",H32=""),"",OFFSET('Rendimento esperado'!$B$16,0,MATCH('Cálculo de EE'!H32,IF('Cálculo de EE'!F32="externo",'Rendimento esperado'!$C$11:$F$11,'Rendimento esperado'!$G$11:$J$11),1)))</f>
        <v/>
      </c>
      <c r="AA32" s="73" t="str">
        <f ca="1">IF(Z32="","",IF((T32-0.2725/IF(Z32="",OFFSET('Rendimento esperado'!$B$16,0,MATCH('Cálculo de EE'!H32,IF('Cálculo de EE'!F32="externo",'Rendimento esperado'!$C$11:$F$11,'Rendimento esperado'!$G$11:$J$11),1)),Z32)*100)*I32*L32/100/D32&gt;0,(T32-0.2725/IF(Z32="",OFFSET('Rendimento esperado'!$B$16,0,MATCH('Cálculo de EE'!H32,IF('Cálculo de EE'!F32="externo",'Rendimento esperado'!$C$11:$F$11,'Rendimento esperado'!$G$11:$J$11),1)),Z32)*100)*I32*L32/100/D32,""))</f>
        <v/>
      </c>
      <c r="AB32" s="74" t="str">
        <f t="shared" ca="1" si="11"/>
        <v/>
      </c>
      <c r="AC32" s="75" t="str">
        <f t="shared" ca="1" si="3"/>
        <v/>
      </c>
      <c r="AD32" s="76" t="str">
        <f t="shared" ca="1" si="4"/>
        <v/>
      </c>
      <c r="AE32" s="96"/>
      <c r="AF32" s="77" t="str">
        <f t="shared" ca="1" si="15"/>
        <v/>
      </c>
      <c r="AG32" s="77"/>
      <c r="AH32" s="77"/>
      <c r="AI32" s="77"/>
      <c r="AJ32" s="77"/>
      <c r="AK32" s="77"/>
      <c r="AL32" s="78" t="e">
        <f ca="1">IF(AND(AF32="",#REF!=""),"",IF(#REF!="–","Informações insuficientes para orientar decisão",IF(AND(AF32="",#REF!&lt;&gt;""),"Não é necessária intervenção",IF(#REF!="★★★",IF(AF32&gt;36,"O retorno do investimento é lento","Realizar intervenção"),IF(AF32&gt;36,"O retorno do investimento é lento, porém uma análise mais detalhada é recomendável","A intervenção é vantajosa, porém uma análise mais detalhada é recomendável")))))</f>
        <v>#REF!</v>
      </c>
    </row>
    <row r="33" spans="1:38" s="85" customFormat="1" ht="25" customHeight="1" x14ac:dyDescent="0.35">
      <c r="A33" s="61"/>
      <c r="B33" s="62" t="s">
        <v>42</v>
      </c>
      <c r="C33" s="82"/>
      <c r="D33" s="82"/>
      <c r="E33" s="82"/>
      <c r="F33" s="82"/>
      <c r="G33" s="82"/>
      <c r="H33" s="82"/>
      <c r="I33" s="83"/>
      <c r="J33" s="82"/>
      <c r="K33" s="82"/>
      <c r="L33" s="82"/>
      <c r="M33" s="82"/>
      <c r="N33" s="82"/>
      <c r="O33" s="83"/>
      <c r="P33" s="82"/>
      <c r="Q33" s="82"/>
      <c r="R33" s="84"/>
      <c r="S33" s="68" t="str">
        <f t="shared" si="0"/>
        <v/>
      </c>
      <c r="T33" s="69" t="str">
        <f t="shared" si="1"/>
        <v/>
      </c>
      <c r="U33" s="70" t="str">
        <f t="shared" si="9"/>
        <v/>
      </c>
      <c r="V33" s="71" t="str">
        <f t="shared" si="10"/>
        <v/>
      </c>
      <c r="W33" s="72" t="str">
        <f ca="1">IF(U33="","",OFFSET('Rendimento esperado'!$B$11,MATCH('Cálculo de EE'!U33,OFFSET('Rendimento esperado'!$B$11,1,MATCH('Cálculo de EE'!H33,IF(F33="externo",'Rendimento esperado'!$C$11:$F$11,'Rendimento esperado'!$G$11:$J$11),1),7,1),1),0))</f>
        <v/>
      </c>
      <c r="X33" s="72" t="str">
        <f ca="1">IF(U33="","",OFFSET('Rendimento esperado'!$B$11,MATCH('Cálculo de EE'!U33,OFFSET('Rendimento esperado'!$B$11,1,MATCH('Cálculo de EE'!H33,IF(F33="externo",'Rendimento esperado'!$C$11:$F$11,'Rendimento esperado'!$G$11:$J$11),1),7,1),1),9))</f>
        <v/>
      </c>
      <c r="Y33" s="83"/>
      <c r="Z33" s="65" t="str">
        <f ca="1">IF(OR(F33="",H33=""),"",OFFSET('Rendimento esperado'!$B$16,0,MATCH('Cálculo de EE'!H33,IF('Cálculo de EE'!F33="externo",'Rendimento esperado'!$C$11:$F$11,'Rendimento esperado'!$G$11:$J$11),1)))</f>
        <v/>
      </c>
      <c r="AA33" s="73" t="str">
        <f ca="1">IF(Z33="","",IF((T33-0.2725/IF(Z33="",OFFSET('Rendimento esperado'!$B$16,0,MATCH('Cálculo de EE'!H33,IF('Cálculo de EE'!F33="externo",'Rendimento esperado'!$C$11:$F$11,'Rendimento esperado'!$G$11:$J$11),1)),Z33)*100)*I33*L33/100/D33&gt;0,(T33-0.2725/IF(Z33="",OFFSET('Rendimento esperado'!$B$16,0,MATCH('Cálculo de EE'!H33,IF('Cálculo de EE'!F33="externo",'Rendimento esperado'!$C$11:$F$11,'Rendimento esperado'!$G$11:$J$11),1)),Z33)*100)*I33*L33/100/D33,""))</f>
        <v/>
      </c>
      <c r="AB33" s="74" t="str">
        <f t="shared" ca="1" si="11"/>
        <v/>
      </c>
      <c r="AC33" s="75" t="str">
        <f t="shared" ca="1" si="3"/>
        <v/>
      </c>
      <c r="AD33" s="76" t="str">
        <f t="shared" ca="1" si="4"/>
        <v/>
      </c>
      <c r="AE33" s="96"/>
      <c r="AF33" s="77" t="str">
        <f t="shared" ca="1" si="15"/>
        <v/>
      </c>
      <c r="AG33" s="77"/>
      <c r="AH33" s="77"/>
      <c r="AI33" s="77"/>
      <c r="AJ33" s="77"/>
      <c r="AK33" s="77"/>
      <c r="AL33" s="78" t="e">
        <f ca="1">IF(AND(AF33="",#REF!=""),"",IF(#REF!="–","Informações insuficientes para orientar decisão",IF(AND(AF33="",#REF!&lt;&gt;""),"Não é necessária intervenção",IF(#REF!="★★★",IF(AF33&gt;36,"O retorno do investimento é lento","Realizar intervenção"),IF(AF33&gt;36,"O retorno do investimento é lento, porém uma análise mais detalhada é recomendável","A intervenção é vantajosa, porém uma análise mais detalhada é recomendável")))))</f>
        <v>#REF!</v>
      </c>
    </row>
    <row r="34" spans="1:38" s="85" customFormat="1" ht="25" customHeight="1" x14ac:dyDescent="0.35">
      <c r="A34" s="61"/>
      <c r="B34" s="62" t="s">
        <v>44</v>
      </c>
      <c r="C34" s="82"/>
      <c r="D34" s="82"/>
      <c r="E34" s="82"/>
      <c r="F34" s="82"/>
      <c r="G34" s="82"/>
      <c r="H34" s="82"/>
      <c r="I34" s="83"/>
      <c r="J34" s="82"/>
      <c r="K34" s="82"/>
      <c r="L34" s="82"/>
      <c r="M34" s="82"/>
      <c r="N34" s="82"/>
      <c r="O34" s="83"/>
      <c r="P34" s="82"/>
      <c r="Q34" s="82"/>
      <c r="R34" s="84"/>
      <c r="S34" s="68" t="str">
        <f t="shared" si="0"/>
        <v/>
      </c>
      <c r="T34" s="69" t="str">
        <f t="shared" si="1"/>
        <v/>
      </c>
      <c r="U34" s="70" t="str">
        <f t="shared" si="9"/>
        <v/>
      </c>
      <c r="V34" s="71" t="str">
        <f t="shared" si="10"/>
        <v/>
      </c>
      <c r="W34" s="72" t="str">
        <f ca="1">IF(U34="","",OFFSET('Rendimento esperado'!$B$11,MATCH('Cálculo de EE'!U34,OFFSET('Rendimento esperado'!$B$11,1,MATCH('Cálculo de EE'!H34,IF(F34="externo",'Rendimento esperado'!$C$11:$F$11,'Rendimento esperado'!$G$11:$J$11),1),7,1),1),0))</f>
        <v/>
      </c>
      <c r="X34" s="72" t="str">
        <f ca="1">IF(U34="","",OFFSET('Rendimento esperado'!$B$11,MATCH('Cálculo de EE'!U34,OFFSET('Rendimento esperado'!$B$11,1,MATCH('Cálculo de EE'!H34,IF(F34="externo",'Rendimento esperado'!$C$11:$F$11,'Rendimento esperado'!$G$11:$J$11),1),7,1),1),9))</f>
        <v/>
      </c>
      <c r="Y34" s="83"/>
      <c r="Z34" s="65" t="str">
        <f ca="1">IF(OR(F34="",H34=""),"",OFFSET('Rendimento esperado'!$B$16,0,MATCH('Cálculo de EE'!H34,IF('Cálculo de EE'!F34="externo",'Rendimento esperado'!$C$11:$F$11,'Rendimento esperado'!$G$11:$J$11),1)))</f>
        <v/>
      </c>
      <c r="AA34" s="73" t="str">
        <f ca="1">IF(Z34="","",IF((T34-0.2725/IF(Z34="",OFFSET('Rendimento esperado'!$B$16,0,MATCH('Cálculo de EE'!H34,IF('Cálculo de EE'!F34="externo",'Rendimento esperado'!$C$11:$F$11,'Rendimento esperado'!$G$11:$J$11),1)),Z34)*100)*I34*L34/100/D34&gt;0,(T34-0.2725/IF(Z34="",OFFSET('Rendimento esperado'!$B$16,0,MATCH('Cálculo de EE'!H34,IF('Cálculo de EE'!F34="externo",'Rendimento esperado'!$C$11:$F$11,'Rendimento esperado'!$G$11:$J$11),1)),Z34)*100)*I34*L34/100/D34,""))</f>
        <v/>
      </c>
      <c r="AB34" s="74" t="str">
        <f t="shared" ca="1" si="11"/>
        <v/>
      </c>
      <c r="AC34" s="75" t="str">
        <f t="shared" ca="1" si="3"/>
        <v/>
      </c>
      <c r="AD34" s="76" t="str">
        <f t="shared" ca="1" si="4"/>
        <v/>
      </c>
      <c r="AE34" s="96"/>
      <c r="AF34" s="77" t="str">
        <f t="shared" ca="1" si="15"/>
        <v/>
      </c>
      <c r="AG34" s="77"/>
      <c r="AH34" s="77"/>
      <c r="AI34" s="77"/>
      <c r="AJ34" s="77"/>
      <c r="AK34" s="77"/>
      <c r="AL34" s="78" t="e">
        <f ca="1">IF(AND(AF34="",#REF!=""),"",IF(#REF!="–","Informações insuficientes para orientar decisão",IF(AND(AF34="",#REF!&lt;&gt;""),"Não é necessária intervenção",IF(#REF!="★★★",IF(AF34&gt;36,"O retorno do investimento é lento","Realizar intervenção"),IF(AF34&gt;36,"O retorno do investimento é lento, porém uma análise mais detalhada é recomendável","A intervenção é vantajosa, porém uma análise mais detalhada é recomendável")))))</f>
        <v>#REF!</v>
      </c>
    </row>
    <row r="35" spans="1:38" s="85" customFormat="1" ht="25" customHeight="1" x14ac:dyDescent="0.35">
      <c r="A35" s="61"/>
      <c r="B35" s="62" t="s">
        <v>43</v>
      </c>
      <c r="C35" s="82"/>
      <c r="D35" s="82"/>
      <c r="E35" s="82"/>
      <c r="F35" s="82"/>
      <c r="G35" s="82"/>
      <c r="H35" s="82"/>
      <c r="I35" s="83"/>
      <c r="J35" s="82"/>
      <c r="K35" s="82"/>
      <c r="L35" s="82"/>
      <c r="M35" s="82"/>
      <c r="N35" s="82"/>
      <c r="O35" s="83"/>
      <c r="P35" s="82"/>
      <c r="Q35" s="82"/>
      <c r="R35" s="84"/>
      <c r="S35" s="68" t="str">
        <f t="shared" si="0"/>
        <v/>
      </c>
      <c r="T35" s="69" t="str">
        <f t="shared" si="1"/>
        <v/>
      </c>
      <c r="U35" s="70" t="str">
        <f t="shared" si="9"/>
        <v/>
      </c>
      <c r="V35" s="71" t="str">
        <f t="shared" si="10"/>
        <v/>
      </c>
      <c r="W35" s="72" t="str">
        <f ca="1">IF(U35="","",OFFSET('Rendimento esperado'!$B$11,MATCH('Cálculo de EE'!U35,OFFSET('Rendimento esperado'!$B$11,1,MATCH('Cálculo de EE'!H35,IF(F35="externo",'Rendimento esperado'!$C$11:$F$11,'Rendimento esperado'!$G$11:$J$11),1),7,1),1),0))</f>
        <v/>
      </c>
      <c r="X35" s="72" t="str">
        <f ca="1">IF(U35="","",OFFSET('Rendimento esperado'!$B$11,MATCH('Cálculo de EE'!U35,OFFSET('Rendimento esperado'!$B$11,1,MATCH('Cálculo de EE'!H35,IF(F35="externo",'Rendimento esperado'!$C$11:$F$11,'Rendimento esperado'!$G$11:$J$11),1),7,1),1),9))</f>
        <v/>
      </c>
      <c r="Y35" s="83"/>
      <c r="Z35" s="65" t="str">
        <f ca="1">IF(OR(F35="",H35=""),"",OFFSET('Rendimento esperado'!$B$16,0,MATCH('Cálculo de EE'!H35,IF('Cálculo de EE'!F35="externo",'Rendimento esperado'!$C$11:$F$11,'Rendimento esperado'!$G$11:$J$11),1)))</f>
        <v/>
      </c>
      <c r="AA35" s="73" t="str">
        <f ca="1">IF(Z35="","",IF((T35-0.2725/IF(Z35="",OFFSET('Rendimento esperado'!$B$16,0,MATCH('Cálculo de EE'!H35,IF('Cálculo de EE'!F35="externo",'Rendimento esperado'!$C$11:$F$11,'Rendimento esperado'!$G$11:$J$11),1)),Z35)*100)*I35*L35/100/D35&gt;0,(T35-0.2725/IF(Z35="",OFFSET('Rendimento esperado'!$B$16,0,MATCH('Cálculo de EE'!H35,IF('Cálculo de EE'!F35="externo",'Rendimento esperado'!$C$11:$F$11,'Rendimento esperado'!$G$11:$J$11),1)),Z35)*100)*I35*L35/100/D35,""))</f>
        <v/>
      </c>
      <c r="AB35" s="74" t="str">
        <f t="shared" ca="1" si="11"/>
        <v/>
      </c>
      <c r="AC35" s="75" t="str">
        <f t="shared" ca="1" si="3"/>
        <v/>
      </c>
      <c r="AD35" s="76" t="str">
        <f t="shared" ca="1" si="4"/>
        <v/>
      </c>
      <c r="AE35" s="96"/>
      <c r="AF35" s="77" t="str">
        <f t="shared" ca="1" si="15"/>
        <v/>
      </c>
      <c r="AG35" s="77"/>
      <c r="AH35" s="77"/>
      <c r="AI35" s="77"/>
      <c r="AJ35" s="77"/>
      <c r="AK35" s="77"/>
      <c r="AL35" s="78" t="e">
        <f ca="1">IF(AND(AF35="",#REF!=""),"",IF(#REF!="–","Informações insuficientes para orientar decisão",IF(AND(AF35="",#REF!&lt;&gt;""),"Não é necessária intervenção",IF(#REF!="★★★",IF(AF35&gt;36,"O retorno do investimento é lento","Realizar intervenção"),IF(AF35&gt;36,"O retorno do investimento é lento, porém uma análise mais detalhada é recomendável","A intervenção é vantajosa, porém uma análise mais detalhada é recomendável")))))</f>
        <v>#REF!</v>
      </c>
    </row>
    <row r="36" spans="1:38" s="85" customFormat="1" ht="25" customHeight="1" x14ac:dyDescent="0.35">
      <c r="A36" s="61"/>
      <c r="B36" s="62" t="s">
        <v>45</v>
      </c>
      <c r="C36" s="82"/>
      <c r="D36" s="82"/>
      <c r="E36" s="82"/>
      <c r="F36" s="82"/>
      <c r="G36" s="82"/>
      <c r="H36" s="82"/>
      <c r="I36" s="83"/>
      <c r="J36" s="82"/>
      <c r="K36" s="82"/>
      <c r="L36" s="82"/>
      <c r="M36" s="82"/>
      <c r="N36" s="82"/>
      <c r="O36" s="83"/>
      <c r="P36" s="82"/>
      <c r="Q36" s="82"/>
      <c r="R36" s="84"/>
      <c r="S36" s="68" t="str">
        <f t="shared" si="0"/>
        <v/>
      </c>
      <c r="T36" s="69" t="str">
        <f t="shared" si="1"/>
        <v/>
      </c>
      <c r="U36" s="70" t="str">
        <f t="shared" si="9"/>
        <v/>
      </c>
      <c r="V36" s="71" t="str">
        <f t="shared" si="10"/>
        <v/>
      </c>
      <c r="W36" s="72" t="str">
        <f ca="1">IF(U36="","",OFFSET('Rendimento esperado'!$B$11,MATCH('Cálculo de EE'!U36,OFFSET('Rendimento esperado'!$B$11,1,MATCH('Cálculo de EE'!H36,IF(F36="externo",'Rendimento esperado'!$C$11:$F$11,'Rendimento esperado'!$G$11:$J$11),1),7,1),1),0))</f>
        <v/>
      </c>
      <c r="X36" s="72" t="str">
        <f ca="1">IF(U36="","",OFFSET('Rendimento esperado'!$B$11,MATCH('Cálculo de EE'!U36,OFFSET('Rendimento esperado'!$B$11,1,MATCH('Cálculo de EE'!H36,IF(F36="externo",'Rendimento esperado'!$C$11:$F$11,'Rendimento esperado'!$G$11:$J$11),1),7,1),1),9))</f>
        <v/>
      </c>
      <c r="Y36" s="83"/>
      <c r="Z36" s="65" t="str">
        <f ca="1">IF(OR(F36="",H36=""),"",OFFSET('Rendimento esperado'!$B$16,0,MATCH('Cálculo de EE'!H36,IF('Cálculo de EE'!F36="externo",'Rendimento esperado'!$C$11:$F$11,'Rendimento esperado'!$G$11:$J$11),1)))</f>
        <v/>
      </c>
      <c r="AA36" s="73" t="str">
        <f ca="1">IF(Z36="","",IF((T36-0.2725/IF(Z36="",OFFSET('Rendimento esperado'!$B$16,0,MATCH('Cálculo de EE'!H36,IF('Cálculo de EE'!F36="externo",'Rendimento esperado'!$C$11:$F$11,'Rendimento esperado'!$G$11:$J$11),1)),Z36)*100)*I36*L36/100/D36&gt;0,(T36-0.2725/IF(Z36="",OFFSET('Rendimento esperado'!$B$16,0,MATCH('Cálculo de EE'!H36,IF('Cálculo de EE'!F36="externo",'Rendimento esperado'!$C$11:$F$11,'Rendimento esperado'!$G$11:$J$11),1)),Z36)*100)*I36*L36/100/D36,""))</f>
        <v/>
      </c>
      <c r="AB36" s="74" t="str">
        <f t="shared" ca="1" si="11"/>
        <v/>
      </c>
      <c r="AC36" s="75" t="str">
        <f t="shared" ca="1" si="3"/>
        <v/>
      </c>
      <c r="AD36" s="76" t="str">
        <f t="shared" ca="1" si="4"/>
        <v/>
      </c>
      <c r="AE36" s="96"/>
      <c r="AF36" s="77" t="str">
        <f t="shared" ca="1" si="15"/>
        <v/>
      </c>
      <c r="AG36" s="77"/>
      <c r="AH36" s="77"/>
      <c r="AI36" s="77"/>
      <c r="AJ36" s="77"/>
      <c r="AK36" s="77"/>
      <c r="AL36" s="78" t="e">
        <f ca="1">IF(AND(AF36="",#REF!=""),"",IF(#REF!="–","Informações insuficientes para orientar decisão",IF(AND(AF36="",#REF!&lt;&gt;""),"Não é necessária intervenção",IF(#REF!="★★★",IF(AF36&gt;36,"O retorno do investimento é lento","Realizar intervenção"),IF(AF36&gt;36,"O retorno do investimento é lento, porém uma análise mais detalhada é recomendável","A intervenção é vantajosa, porém uma análise mais detalhada é recomendável")))))</f>
        <v>#REF!</v>
      </c>
    </row>
    <row r="37" spans="1:38" s="85" customFormat="1" ht="25" customHeight="1" thickBot="1" x14ac:dyDescent="0.4">
      <c r="A37" s="61"/>
      <c r="B37" s="62" t="s">
        <v>46</v>
      </c>
      <c r="C37" s="82"/>
      <c r="D37" s="82"/>
      <c r="E37" s="82"/>
      <c r="F37" s="82"/>
      <c r="G37" s="82"/>
      <c r="H37" s="82"/>
      <c r="I37" s="83"/>
      <c r="J37" s="82"/>
      <c r="K37" s="82"/>
      <c r="L37" s="82"/>
      <c r="M37" s="82"/>
      <c r="N37" s="82"/>
      <c r="O37" s="83"/>
      <c r="P37" s="82"/>
      <c r="Q37" s="82"/>
      <c r="R37" s="84"/>
      <c r="S37" s="68" t="str">
        <f t="shared" si="0"/>
        <v/>
      </c>
      <c r="T37" s="69" t="str">
        <f t="shared" si="1"/>
        <v/>
      </c>
      <c r="U37" s="86" t="str">
        <f t="shared" si="9"/>
        <v/>
      </c>
      <c r="V37" s="87" t="str">
        <f t="shared" si="10"/>
        <v/>
      </c>
      <c r="W37" s="72" t="str">
        <f ca="1">IF(U37="","",OFFSET('Rendimento esperado'!$B$11,MATCH('Cálculo de EE'!U37,OFFSET('Rendimento esperado'!$B$11,1,MATCH('Cálculo de EE'!H37,IF(F37="externo",'Rendimento esperado'!$C$11:$F$11,'Rendimento esperado'!$G$11:$J$11),1),7,1),1),0))</f>
        <v/>
      </c>
      <c r="X37" s="72" t="str">
        <f ca="1">IF(U37="","",OFFSET('Rendimento esperado'!$B$11,MATCH('Cálculo de EE'!U37,OFFSET('Rendimento esperado'!$B$11,1,MATCH('Cálculo de EE'!H37,IF(F37="externo",'Rendimento esperado'!$C$11:$F$11,'Rendimento esperado'!$G$11:$J$11),1),7,1),1),9))</f>
        <v/>
      </c>
      <c r="Y37" s="83"/>
      <c r="Z37" s="65" t="str">
        <f ca="1">IF(OR(F37="",H37=""),"",OFFSET('Rendimento esperado'!$B$16,0,MATCH('Cálculo de EE'!H37,IF('Cálculo de EE'!F37="externo",'Rendimento esperado'!$C$11:$F$11,'Rendimento esperado'!$G$11:$J$11),1)))</f>
        <v/>
      </c>
      <c r="AA37" s="73" t="str">
        <f ca="1">IF(Z37="","",IF((T37-0.2725/IF(Z37="",OFFSET('Rendimento esperado'!$B$16,0,MATCH('Cálculo de EE'!H37,IF('Cálculo de EE'!F37="externo",'Rendimento esperado'!$C$11:$F$11,'Rendimento esperado'!$G$11:$J$11),1)),Z37)*100)*I37*L37/100/D37&gt;0,(T37-0.2725/IF(Z37="",OFFSET('Rendimento esperado'!$B$16,0,MATCH('Cálculo de EE'!H37,IF('Cálculo de EE'!F37="externo",'Rendimento esperado'!$C$11:$F$11,'Rendimento esperado'!$G$11:$J$11),1)),Z37)*100)*I37*L37/100/D37,""))</f>
        <v/>
      </c>
      <c r="AB37" s="74" t="str">
        <f t="shared" ca="1" si="11"/>
        <v/>
      </c>
      <c r="AC37" s="88" t="str">
        <f t="shared" ca="1" si="3"/>
        <v/>
      </c>
      <c r="AD37" s="89" t="str">
        <f t="shared" ca="1" si="4"/>
        <v/>
      </c>
      <c r="AE37" s="97"/>
      <c r="AF37" s="77" t="str">
        <f t="shared" ca="1" si="15"/>
        <v/>
      </c>
      <c r="AG37" s="77"/>
      <c r="AH37" s="77"/>
      <c r="AI37" s="77"/>
      <c r="AJ37" s="77"/>
      <c r="AK37" s="77"/>
      <c r="AL37" s="78" t="e">
        <f ca="1">IF(AND(AF37="",#REF!=""),"",IF(#REF!="–","Informações insuficientes para orientar decisão",IF(AND(AF37="",#REF!&lt;&gt;""),"Não é necessária intervenção",IF(#REF!="★★★",IF(AF37&gt;36,"O retorno do investimento é lento","Realizar intervenção"),IF(AF37&gt;36,"O retorno do investimento é lento, porém uma análise mais detalhada é recomendável","A intervenção é vantajosa, porém uma análise mais detalhada é recomendável")))))</f>
        <v>#REF!</v>
      </c>
    </row>
  </sheetData>
  <mergeCells count="13">
    <mergeCell ref="AF10:AL10"/>
    <mergeCell ref="Y10:Z10"/>
    <mergeCell ref="W10:X10"/>
    <mergeCell ref="AC11:AD11"/>
    <mergeCell ref="U11:V11"/>
    <mergeCell ref="S10:V10"/>
    <mergeCell ref="AA10:AD10"/>
    <mergeCell ref="B10:C10"/>
    <mergeCell ref="D10:E10"/>
    <mergeCell ref="I10:K10"/>
    <mergeCell ref="L10:N10"/>
    <mergeCell ref="O10:R10"/>
    <mergeCell ref="F10:H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03238888-A673-4B8E-8089-05D76C10ADF6}">
            <xm:f>NOT(ISERROR(SEARCH('Rendimento esperado'!$B$17,W12)))</xm:f>
            <xm:f>'Rendimento esperado'!$B$17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9" operator="containsText" id="{A4F7FB0C-7C96-4482-9410-47EC57AFB0AF}">
            <xm:f>NOT(ISERROR(SEARCH('Rendimento esperado'!$B$16,W12)))</xm:f>
            <xm:f>'Rendimento esperado'!$B$16</xm:f>
            <x14:dxf>
              <fill>
                <patternFill>
                  <bgColor rgb="FF92D050"/>
                </patternFill>
              </fill>
            </x14:dxf>
          </x14:cfRule>
          <x14:cfRule type="containsText" priority="10" operator="containsText" id="{37C90224-D190-493A-BF3C-4357B4FD1236}">
            <xm:f>NOT(ISERROR(SEARCH('Rendimento esperado'!$B$15,W12)))</xm:f>
            <xm:f>'Rendimento esperado'!$B$15</xm:f>
            <x14:dxf>
              <fill>
                <patternFill>
                  <bgColor rgb="FFFFC000"/>
                </patternFill>
              </fill>
            </x14:dxf>
          </x14:cfRule>
          <x14:cfRule type="endsWith" priority="11" operator="endsWith" id="{58F8BC87-3722-40EF-B0D1-59C5C546F215}">
            <xm:f>RIGHT(W12,LEN('Rendimento esperado'!$B$14))='Rendimento esperado'!$B$14</xm:f>
            <xm:f>'Rendimento esperado'!$B$14</xm:f>
            <x14:dxf>
              <fill>
                <patternFill>
                  <bgColor rgb="FFFF0000"/>
                </patternFill>
              </fill>
            </x14:dxf>
          </x14:cfRule>
          <x14:cfRule type="containsText" priority="12" operator="containsText" id="{9E30B870-9EB8-4465-941A-48CC126C7366}">
            <xm:f>NOT(ISERROR(SEARCH('Rendimento esperado'!$B$13,W12)))</xm:f>
            <xm:f>'Rendimento esperado'!$B$13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3" operator="containsText" id="{F77C2E3B-066F-4260-912B-A1CD7B8CE981}">
            <xm:f>NOT(ISERROR(SEARCH('Rendimento esperado'!$B$12,W12)))</xm:f>
            <xm:f>'Rendimento esperado'!$B$12</xm:f>
            <x14:dxf>
              <fill>
                <patternFill>
                  <bgColor theme="0" tint="-4.9989318521683403E-2"/>
                </patternFill>
              </fill>
            </x14:dxf>
          </x14:cfRule>
          <xm:sqref>W12:X37</xm:sqref>
        </x14:conditionalFormatting>
        <x14:conditionalFormatting xmlns:xm="http://schemas.microsoft.com/office/excel/2006/main">
          <x14:cfRule type="containsText" priority="1" operator="containsText" id="{BDAAA63C-4FA4-45EF-BE49-BF6B30BA88BF}">
            <xm:f>NOT(ISERROR(SEARCH('Rendimento esperado'!$K$17,X12)))</xm:f>
            <xm:f>'Rendimento esperado'!$K$17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" operator="containsText" id="{E7F1F3D3-3F36-42BF-A094-345247D46AF3}">
            <xm:f>NOT(ISERROR(SEARCH('Rendimento esperado'!$K$16,X12)))</xm:f>
            <xm:f>'Rendimento esperado'!$K$16</xm:f>
            <x14:dxf>
              <fill>
                <patternFill>
                  <bgColor rgb="FF92D050"/>
                </patternFill>
              </fill>
            </x14:dxf>
          </x14:cfRule>
          <x14:cfRule type="containsText" priority="3" operator="containsText" id="{0EFF320B-1112-454A-8674-F8F57BEB5D98}">
            <xm:f>NOT(ISERROR(SEARCH('Rendimento esperado'!$K$15,X12)))</xm:f>
            <xm:f>'Rendimento esperado'!$K$15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4" operator="containsText" id="{6C738CEF-9ABF-4C3A-9DEF-F1A347FEB841}">
            <xm:f>NOT(ISERROR(SEARCH('Rendimento esperado'!$K$14,X12)))</xm:f>
            <xm:f>'Rendimento esperado'!$K$14</xm:f>
            <x14:dxf>
              <fill>
                <patternFill>
                  <bgColor rgb="FFFF0000"/>
                </patternFill>
              </fill>
            </x14:dxf>
          </x14:cfRule>
          <x14:cfRule type="containsText" priority="5" operator="containsText" id="{603D604B-E2EF-4DDF-8770-D6DBB127EEE9}">
            <xm:f>NOT(ISERROR(SEARCH('Rendimento esperado'!$K$13,X12)))</xm:f>
            <xm:f>'Rendimento esperado'!$K$13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" operator="containsText" id="{839C1A43-0273-41DA-9E18-44A892E71D70}">
            <xm:f>NOT(ISERROR(SEARCH('Rendimento esperado'!$K$12,X12)))</xm:f>
            <xm:f>'Rendimento esperado'!$K$12</xm:f>
            <x14:dxf>
              <fill>
                <patternFill>
                  <bgColor theme="0" tint="-4.9989318521683403E-2"/>
                </patternFill>
              </fill>
            </x14:dxf>
          </x14:cfRule>
          <xm:sqref>X12:X37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'Respostas tipo'!$B$11:$B$12</xm:f>
          </x14:formula1>
          <xm:sqref>F12:F37</xm:sqref>
        </x14:dataValidation>
        <x14:dataValidation type="list" allowBlank="1" showInputMessage="1" showErrorMessage="1" xr:uid="{00000000-0002-0000-0000-000001000000}">
          <x14:formula1>
            <xm:f>'Respostas tipo'!$C$11:$C$12</xm:f>
          </x14:formula1>
          <xm:sqref>J12:J37</xm:sqref>
        </x14:dataValidation>
        <x14:dataValidation type="list" allowBlank="1" showInputMessage="1" showErrorMessage="1" xr:uid="{00000000-0002-0000-0000-000002000000}">
          <x14:formula1>
            <xm:f>'Respostas tipo'!$D$11:$D$14</xm:f>
          </x14:formula1>
          <xm:sqref>M12:M37</xm:sqref>
        </x14:dataValidation>
        <x14:dataValidation type="list" allowBlank="1" showInputMessage="1" showErrorMessage="1" xr:uid="{00000000-0002-0000-0000-000003000000}">
          <x14:formula1>
            <xm:f>'Respostas tipo'!$E$11:$E$13</xm:f>
          </x14:formula1>
          <xm:sqref>P12:P37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zoomScaleNormal="100" workbookViewId="0">
      <pane ySplit="9" topLeftCell="A10" activePane="bottomLeft" state="frozen"/>
      <selection pane="bottomLeft" activeCell="B10" sqref="B10"/>
    </sheetView>
  </sheetViews>
  <sheetFormatPr defaultColWidth="9.1796875" defaultRowHeight="15" customHeight="1" x14ac:dyDescent="0.35"/>
  <cols>
    <col min="1" max="1" width="1.7265625" style="9" customWidth="1"/>
    <col min="2" max="2" width="24.1796875" style="8" customWidth="1"/>
    <col min="3" max="10" width="4.7265625" style="11" customWidth="1"/>
    <col min="11" max="11" width="35.7265625" style="7" bestFit="1" customWidth="1"/>
    <col min="12" max="16384" width="9.1796875" style="7"/>
  </cols>
  <sheetData>
    <row r="1" spans="1:11" s="9" customFormat="1" ht="15" customHeight="1" x14ac:dyDescent="0.35">
      <c r="B1" s="10"/>
      <c r="C1" s="21"/>
      <c r="D1" s="21"/>
      <c r="E1" s="21"/>
      <c r="F1" s="21"/>
      <c r="G1" s="21"/>
      <c r="H1" s="21"/>
      <c r="I1" s="21"/>
      <c r="J1" s="21"/>
    </row>
    <row r="2" spans="1:11" s="9" customFormat="1" ht="15" customHeight="1" x14ac:dyDescent="0.35">
      <c r="B2" s="10"/>
      <c r="C2" s="21"/>
      <c r="D2" s="21"/>
      <c r="E2" s="21"/>
      <c r="F2" s="21"/>
      <c r="G2" s="21"/>
      <c r="H2" s="21"/>
      <c r="I2" s="21"/>
      <c r="J2" s="21"/>
    </row>
    <row r="3" spans="1:11" s="9" customFormat="1" ht="15" customHeight="1" x14ac:dyDescent="0.35">
      <c r="B3" s="10"/>
      <c r="C3" s="21"/>
      <c r="D3" s="21"/>
      <c r="E3" s="21"/>
      <c r="F3" s="21"/>
      <c r="G3" s="21"/>
      <c r="H3" s="21"/>
      <c r="I3" s="21"/>
      <c r="J3" s="21"/>
    </row>
    <row r="4" spans="1:11" s="9" customFormat="1" ht="15" customHeight="1" x14ac:dyDescent="0.35">
      <c r="B4" s="10"/>
      <c r="C4" s="21"/>
      <c r="D4" s="21"/>
      <c r="E4" s="21"/>
      <c r="F4" s="21"/>
      <c r="G4" s="21"/>
      <c r="H4" s="21"/>
      <c r="I4" s="21"/>
      <c r="J4" s="21"/>
    </row>
    <row r="5" spans="1:11" s="9" customFormat="1" ht="15" customHeight="1" x14ac:dyDescent="0.35">
      <c r="B5" s="10"/>
      <c r="C5" s="21"/>
      <c r="D5" s="21"/>
      <c r="E5" s="21"/>
      <c r="F5" s="21"/>
      <c r="G5" s="21"/>
      <c r="H5" s="21"/>
      <c r="I5" s="21"/>
      <c r="J5" s="21"/>
    </row>
    <row r="6" spans="1:11" s="9" customFormat="1" ht="15" customHeight="1" x14ac:dyDescent="0.35">
      <c r="B6" s="10"/>
      <c r="C6" s="21"/>
      <c r="D6" s="21"/>
      <c r="E6" s="21"/>
      <c r="F6" s="21"/>
      <c r="G6" s="21"/>
      <c r="H6" s="21"/>
      <c r="I6" s="21"/>
      <c r="J6" s="21"/>
    </row>
    <row r="7" spans="1:11" s="9" customFormat="1" ht="15" customHeight="1" x14ac:dyDescent="0.35">
      <c r="B7" s="10"/>
      <c r="C7" s="21"/>
      <c r="D7" s="21"/>
      <c r="E7" s="21"/>
      <c r="F7" s="21"/>
      <c r="G7" s="21"/>
      <c r="H7" s="21"/>
      <c r="I7" s="21"/>
      <c r="J7" s="21"/>
    </row>
    <row r="8" spans="1:11" s="9" customFormat="1" ht="15" customHeight="1" x14ac:dyDescent="0.35">
      <c r="B8" s="10"/>
      <c r="C8" s="21"/>
      <c r="D8" s="21"/>
      <c r="E8" s="21"/>
      <c r="F8" s="21"/>
      <c r="G8" s="21"/>
      <c r="H8" s="21"/>
      <c r="I8" s="21"/>
      <c r="J8" s="21"/>
    </row>
    <row r="9" spans="1:11" s="6" customFormat="1" ht="30" customHeight="1" x14ac:dyDescent="0.35">
      <c r="B9" s="1" t="s">
        <v>68</v>
      </c>
      <c r="C9" s="22"/>
      <c r="D9" s="22"/>
      <c r="E9" s="22"/>
      <c r="F9" s="22"/>
      <c r="G9" s="22"/>
      <c r="H9" s="22"/>
      <c r="I9" s="22"/>
      <c r="J9" s="22"/>
    </row>
    <row r="10" spans="1:11" s="12" customFormat="1" ht="15" customHeight="1" x14ac:dyDescent="0.35">
      <c r="A10" s="13"/>
      <c r="B10" s="15" t="s">
        <v>5</v>
      </c>
      <c r="C10" s="120" t="s">
        <v>52</v>
      </c>
      <c r="D10" s="120"/>
      <c r="E10" s="120"/>
      <c r="F10" s="120"/>
      <c r="G10" s="120" t="s">
        <v>53</v>
      </c>
      <c r="H10" s="120"/>
      <c r="I10" s="120"/>
      <c r="J10" s="120"/>
      <c r="K10" s="121" t="s">
        <v>80</v>
      </c>
    </row>
    <row r="11" spans="1:11" s="12" customFormat="1" ht="30" customHeight="1" x14ac:dyDescent="0.35">
      <c r="A11" s="13"/>
      <c r="B11" s="14" t="s">
        <v>57</v>
      </c>
      <c r="C11" s="16">
        <v>0</v>
      </c>
      <c r="D11" s="16">
        <v>15.7</v>
      </c>
      <c r="E11" s="16">
        <v>38</v>
      </c>
      <c r="F11" s="16">
        <v>96</v>
      </c>
      <c r="G11" s="16">
        <v>0</v>
      </c>
      <c r="H11" s="16">
        <v>15.7</v>
      </c>
      <c r="I11" s="16">
        <v>38</v>
      </c>
      <c r="J11" s="16">
        <v>96</v>
      </c>
      <c r="K11" s="121"/>
    </row>
    <row r="12" spans="1:11" ht="15" customHeight="1" x14ac:dyDescent="0.35">
      <c r="B12" s="20" t="s">
        <v>63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0" t="s">
        <v>86</v>
      </c>
    </row>
    <row r="13" spans="1:11" ht="30" customHeight="1" x14ac:dyDescent="0.35">
      <c r="B13" s="25" t="s">
        <v>58</v>
      </c>
      <c r="C13" s="24">
        <v>16</v>
      </c>
      <c r="D13" s="24">
        <v>16</v>
      </c>
      <c r="E13" s="24">
        <v>16</v>
      </c>
      <c r="F13" s="24">
        <v>16</v>
      </c>
      <c r="G13" s="24">
        <v>16</v>
      </c>
      <c r="H13" s="24">
        <v>16</v>
      </c>
      <c r="I13" s="24">
        <v>16</v>
      </c>
      <c r="J13" s="24">
        <v>16</v>
      </c>
      <c r="K13" s="27" t="s">
        <v>83</v>
      </c>
    </row>
    <row r="14" spans="1:11" ht="30" customHeight="1" x14ac:dyDescent="0.35">
      <c r="B14" s="17" t="s">
        <v>59</v>
      </c>
      <c r="C14" s="24">
        <v>25</v>
      </c>
      <c r="D14" s="24">
        <v>25</v>
      </c>
      <c r="E14" s="24">
        <v>25</v>
      </c>
      <c r="F14" s="24">
        <v>25</v>
      </c>
      <c r="G14" s="24">
        <v>25</v>
      </c>
      <c r="H14" s="24">
        <v>25</v>
      </c>
      <c r="I14" s="24">
        <v>25</v>
      </c>
      <c r="J14" s="24">
        <v>25</v>
      </c>
      <c r="K14" s="28" t="s">
        <v>84</v>
      </c>
    </row>
    <row r="15" spans="1:11" ht="30" customHeight="1" x14ac:dyDescent="0.35">
      <c r="B15" s="18" t="s">
        <v>60</v>
      </c>
      <c r="C15" s="24">
        <v>52</v>
      </c>
      <c r="D15" s="24">
        <v>56.000000000000007</v>
      </c>
      <c r="E15" s="24">
        <v>60</v>
      </c>
      <c r="F15" s="24">
        <v>64</v>
      </c>
      <c r="G15" s="23">
        <v>35</v>
      </c>
      <c r="H15" s="23">
        <v>47</v>
      </c>
      <c r="I15" s="23">
        <v>56.999999999999993</v>
      </c>
      <c r="J15" s="23">
        <v>59</v>
      </c>
      <c r="K15" s="29" t="s">
        <v>85</v>
      </c>
    </row>
    <row r="16" spans="1:11" ht="30" customHeight="1" x14ac:dyDescent="0.35">
      <c r="B16" s="19" t="s">
        <v>61</v>
      </c>
      <c r="C16" s="24">
        <v>64</v>
      </c>
      <c r="D16" s="24">
        <v>68</v>
      </c>
      <c r="E16" s="24">
        <v>72.000000000000014</v>
      </c>
      <c r="F16" s="24">
        <v>72.000000000000014</v>
      </c>
      <c r="G16" s="23">
        <v>50</v>
      </c>
      <c r="H16" s="23">
        <v>56.999999999999993</v>
      </c>
      <c r="I16" s="23">
        <v>62</v>
      </c>
      <c r="J16" s="23">
        <v>63</v>
      </c>
      <c r="K16" s="30" t="s">
        <v>81</v>
      </c>
    </row>
    <row r="17" spans="2:11" ht="30" customHeight="1" x14ac:dyDescent="0.35">
      <c r="B17" s="26" t="s">
        <v>62</v>
      </c>
      <c r="C17" s="24">
        <v>83</v>
      </c>
      <c r="D17" s="24">
        <v>87</v>
      </c>
      <c r="E17" s="24">
        <v>91</v>
      </c>
      <c r="F17" s="24">
        <v>91</v>
      </c>
      <c r="G17" s="23">
        <v>55.000000000000007</v>
      </c>
      <c r="H17" s="23">
        <v>62</v>
      </c>
      <c r="I17" s="23">
        <v>67</v>
      </c>
      <c r="J17" s="23">
        <v>68</v>
      </c>
      <c r="K17" s="31" t="s">
        <v>82</v>
      </c>
    </row>
    <row r="18" spans="2:11" ht="15" customHeight="1" x14ac:dyDescent="0.35">
      <c r="B18" s="20" t="s">
        <v>63</v>
      </c>
      <c r="C18" s="24">
        <v>119.51999999999998</v>
      </c>
      <c r="D18" s="24">
        <v>125.27999999999999</v>
      </c>
      <c r="E18" s="24">
        <v>131.04000000000002</v>
      </c>
      <c r="F18" s="24">
        <v>131.04000000000002</v>
      </c>
      <c r="G18" s="23">
        <v>79</v>
      </c>
      <c r="H18" s="23">
        <v>89</v>
      </c>
      <c r="I18" s="23">
        <v>96</v>
      </c>
      <c r="J18" s="23">
        <v>98</v>
      </c>
      <c r="K18" s="20" t="s">
        <v>86</v>
      </c>
    </row>
  </sheetData>
  <mergeCells count="3">
    <mergeCell ref="C10:F10"/>
    <mergeCell ref="G10:J10"/>
    <mergeCell ref="K10:K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Normal="100" workbookViewId="0">
      <pane ySplit="9" topLeftCell="A10" activePane="bottomLeft" state="frozen"/>
      <selection pane="bottomLeft" activeCell="F15" sqref="F15"/>
    </sheetView>
  </sheetViews>
  <sheetFormatPr defaultColWidth="9.1796875" defaultRowHeight="15" customHeight="1" x14ac:dyDescent="0.35"/>
  <cols>
    <col min="1" max="1" width="1.7265625" style="9" customWidth="1"/>
    <col min="2" max="2" width="10.1796875" style="35" customWidth="1"/>
    <col min="3" max="3" width="14.1796875" style="11" bestFit="1" customWidth="1"/>
    <col min="4" max="4" width="20.453125" style="11" bestFit="1" customWidth="1"/>
    <col min="5" max="5" width="22.7265625" style="11" bestFit="1" customWidth="1"/>
    <col min="6" max="10" width="9.1796875" style="11" customWidth="1"/>
    <col min="11" max="11" width="9.1796875" style="7" customWidth="1"/>
    <col min="12" max="16384" width="9.1796875" style="7"/>
  </cols>
  <sheetData>
    <row r="1" spans="1:11" s="9" customFormat="1" ht="15" customHeight="1" x14ac:dyDescent="0.35">
      <c r="B1" s="33"/>
      <c r="C1" s="21"/>
      <c r="D1" s="21"/>
      <c r="E1" s="21"/>
      <c r="F1" s="21"/>
      <c r="G1" s="21"/>
      <c r="H1" s="21"/>
      <c r="I1" s="21"/>
      <c r="J1" s="21"/>
    </row>
    <row r="2" spans="1:11" s="9" customFormat="1" ht="15" customHeight="1" x14ac:dyDescent="0.35">
      <c r="B2" s="33"/>
      <c r="C2" s="21"/>
      <c r="D2" s="21"/>
      <c r="E2" s="21"/>
      <c r="F2" s="21"/>
      <c r="G2" s="21"/>
      <c r="H2" s="21"/>
      <c r="I2" s="21"/>
      <c r="J2" s="21"/>
    </row>
    <row r="3" spans="1:11" s="9" customFormat="1" ht="15" customHeight="1" x14ac:dyDescent="0.35">
      <c r="B3" s="33"/>
      <c r="C3" s="21"/>
      <c r="D3" s="21"/>
      <c r="E3" s="21"/>
      <c r="F3" s="21"/>
      <c r="G3" s="21"/>
      <c r="H3" s="21"/>
      <c r="I3" s="21"/>
      <c r="J3" s="21"/>
    </row>
    <row r="4" spans="1:11" s="9" customFormat="1" ht="15" customHeight="1" x14ac:dyDescent="0.35">
      <c r="B4" s="33"/>
      <c r="C4" s="21"/>
      <c r="D4" s="21"/>
      <c r="E4" s="21"/>
      <c r="F4" s="21"/>
      <c r="G4" s="21"/>
      <c r="H4" s="21"/>
      <c r="I4" s="21"/>
      <c r="J4" s="21"/>
    </row>
    <row r="5" spans="1:11" s="9" customFormat="1" ht="15" customHeight="1" x14ac:dyDescent="0.35">
      <c r="B5" s="33"/>
      <c r="C5" s="21"/>
      <c r="D5" s="21"/>
      <c r="E5" s="21"/>
      <c r="F5" s="21"/>
      <c r="G5" s="21"/>
      <c r="H5" s="21"/>
      <c r="I5" s="21"/>
      <c r="J5" s="21"/>
    </row>
    <row r="6" spans="1:11" s="9" customFormat="1" ht="15" customHeight="1" x14ac:dyDescent="0.35">
      <c r="B6" s="33"/>
      <c r="C6" s="21"/>
      <c r="D6" s="21"/>
      <c r="E6" s="21"/>
      <c r="F6" s="21"/>
      <c r="G6" s="21"/>
      <c r="H6" s="21"/>
      <c r="I6" s="21"/>
      <c r="J6" s="21"/>
    </row>
    <row r="7" spans="1:11" s="9" customFormat="1" ht="15" customHeight="1" x14ac:dyDescent="0.35">
      <c r="B7" s="33"/>
      <c r="C7" s="21"/>
      <c r="D7" s="21"/>
      <c r="E7" s="21"/>
      <c r="F7" s="21"/>
      <c r="G7" s="21"/>
      <c r="H7" s="21"/>
      <c r="I7" s="21"/>
      <c r="J7" s="21"/>
    </row>
    <row r="8" spans="1:11" s="9" customFormat="1" ht="15" customHeight="1" x14ac:dyDescent="0.35">
      <c r="B8" s="33"/>
      <c r="C8" s="21"/>
      <c r="D8" s="21"/>
      <c r="E8" s="21"/>
      <c r="F8" s="21"/>
      <c r="G8" s="21"/>
      <c r="H8" s="21"/>
      <c r="I8" s="21"/>
      <c r="J8" s="21"/>
    </row>
    <row r="9" spans="1:11" s="6" customFormat="1" ht="30" customHeight="1" x14ac:dyDescent="0.35">
      <c r="B9" s="34" t="s">
        <v>90</v>
      </c>
      <c r="C9" s="22"/>
      <c r="D9" s="21"/>
      <c r="E9" s="21"/>
      <c r="F9" s="21"/>
      <c r="G9" s="21"/>
      <c r="H9" s="21"/>
      <c r="I9" s="21"/>
      <c r="J9" s="21"/>
      <c r="K9" s="9"/>
    </row>
    <row r="10" spans="1:11" s="12" customFormat="1" ht="45" customHeight="1" x14ac:dyDescent="0.35">
      <c r="A10" s="13"/>
      <c r="B10" s="3" t="s">
        <v>5</v>
      </c>
      <c r="C10" s="2" t="s">
        <v>11</v>
      </c>
      <c r="D10" s="4" t="s">
        <v>72</v>
      </c>
      <c r="E10" s="5" t="s">
        <v>19</v>
      </c>
      <c r="F10" s="36"/>
      <c r="G10" s="36"/>
      <c r="H10" s="36"/>
      <c r="I10" s="36"/>
      <c r="J10" s="36"/>
      <c r="K10" s="37"/>
    </row>
    <row r="11" spans="1:11" ht="15" customHeight="1" x14ac:dyDescent="0.35">
      <c r="B11" s="40" t="s">
        <v>52</v>
      </c>
      <c r="C11" s="38" t="s">
        <v>91</v>
      </c>
      <c r="D11" s="38" t="s">
        <v>92</v>
      </c>
      <c r="E11" s="38" t="s">
        <v>93</v>
      </c>
      <c r="K11" s="8"/>
    </row>
    <row r="12" spans="1:11" ht="15" customHeight="1" x14ac:dyDescent="0.35">
      <c r="B12" s="40" t="s">
        <v>53</v>
      </c>
      <c r="C12" s="39" t="s">
        <v>12</v>
      </c>
      <c r="D12" s="38" t="s">
        <v>17</v>
      </c>
      <c r="E12" s="38" t="s">
        <v>94</v>
      </c>
      <c r="K12" s="8"/>
    </row>
    <row r="13" spans="1:11" ht="15" customHeight="1" x14ac:dyDescent="0.35">
      <c r="B13" s="40"/>
      <c r="C13" s="7"/>
      <c r="D13" s="39" t="s">
        <v>18</v>
      </c>
      <c r="E13" s="39" t="s">
        <v>12</v>
      </c>
      <c r="F13" s="32"/>
      <c r="G13" s="32"/>
      <c r="H13" s="32"/>
      <c r="I13" s="32"/>
      <c r="J13" s="32"/>
      <c r="K13" s="8"/>
    </row>
    <row r="14" spans="1:11" ht="15" customHeight="1" x14ac:dyDescent="0.35">
      <c r="B14" s="40"/>
      <c r="C14" s="39"/>
      <c r="D14" s="39" t="s">
        <v>12</v>
      </c>
      <c r="E14" s="39"/>
      <c r="F14" s="32"/>
      <c r="K14" s="8"/>
    </row>
    <row r="15" spans="1:11" ht="15" customHeight="1" x14ac:dyDescent="0.35">
      <c r="B15" s="40"/>
      <c r="C15" s="7"/>
      <c r="D15" s="39"/>
      <c r="E15" s="7"/>
      <c r="F15" s="32"/>
      <c r="K15" s="8"/>
    </row>
    <row r="16" spans="1:11" ht="15" customHeight="1" x14ac:dyDescent="0.35">
      <c r="B16" s="40"/>
      <c r="C16" s="39"/>
      <c r="D16" s="39"/>
      <c r="E16" s="39"/>
      <c r="F16" s="32"/>
      <c r="K16" s="8"/>
    </row>
    <row r="17" spans="2:11" ht="15" customHeight="1" x14ac:dyDescent="0.35">
      <c r="B17" s="40"/>
      <c r="C17" s="39"/>
      <c r="D17" s="39"/>
      <c r="E17" s="39"/>
      <c r="F17" s="32"/>
      <c r="K17" s="8"/>
    </row>
    <row r="18" spans="2:11" ht="15" customHeight="1" x14ac:dyDescent="0.35">
      <c r="B18" s="40"/>
      <c r="C18" s="38"/>
      <c r="D18" s="38"/>
      <c r="E18" s="38"/>
    </row>
    <row r="19" spans="2:11" ht="15" customHeight="1" x14ac:dyDescent="0.35">
      <c r="B19" s="40"/>
      <c r="C19" s="38"/>
      <c r="D19" s="38"/>
      <c r="E19" s="38"/>
    </row>
    <row r="20" spans="2:11" ht="15" customHeight="1" x14ac:dyDescent="0.35">
      <c r="B20" s="40"/>
      <c r="C20" s="38"/>
      <c r="D20" s="38"/>
      <c r="E20" s="38"/>
    </row>
    <row r="21" spans="2:11" ht="15" customHeight="1" x14ac:dyDescent="0.35">
      <c r="B21" s="40"/>
      <c r="C21" s="38"/>
      <c r="D21" s="38"/>
      <c r="E21" s="38"/>
    </row>
    <row r="22" spans="2:11" ht="15" customHeight="1" x14ac:dyDescent="0.35">
      <c r="B22" s="40"/>
      <c r="C22" s="38"/>
      <c r="D22" s="38"/>
      <c r="E22" s="3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Introdução </vt:lpstr>
      <vt:lpstr>Cálculo de EE</vt:lpstr>
      <vt:lpstr>Rendimento esperado</vt:lpstr>
      <vt:lpstr>Respostas tipo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Lopes</dc:creator>
  <cp:lastModifiedBy>Rita Cavaleiro de Ferreira</cp:lastModifiedBy>
  <cp:lastPrinted>2017-10-18T14:44:53Z</cp:lastPrinted>
  <dcterms:created xsi:type="dcterms:W3CDTF">2017-08-30T14:15:36Z</dcterms:created>
  <dcterms:modified xsi:type="dcterms:W3CDTF">2017-10-20T17:24:24Z</dcterms:modified>
</cp:coreProperties>
</file>